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4.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worksheets/sheet1.xml" ContentType="application/vnd.openxmlformats-officedocument.spreadsheetml.worksheet+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2.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3.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4.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5.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6.xml" ContentType="application/vnd.openxmlformats-officedocument.themeOverride+xml"/>
  <Override PartName="/xl/worksheets/sheet2.xml" ContentType="application/vnd.openxmlformats-officedocument.spreadsheetml.worksheet+xml"/>
  <Override PartName="/xl/worksheets/sheet3.xml" ContentType="application/vnd.openxmlformats-officedocument.spreadsheetml.worksheet+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metadata.xml" ContentType="application/vnd.openxmlformats-officedocument.spreadsheetml.sheetMetadata+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tables/table1.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trlProps/ctrlProp2.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xl/tables/table2.xml" ContentType="application/vnd.openxmlformats-officedocument.spreadsheetml.table+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202300"/>
  <mc:AlternateContent xmlns:mc="http://schemas.openxmlformats.org/markup-compatibility/2006">
    <mc:Choice Requires="x15">
      <x15ac:absPath xmlns:x15ac="http://schemas.microsoft.com/office/spreadsheetml/2010/11/ac" url="C:\Users\RiedererB\Coding\Projects\FlexCheck_FLEXcel\"/>
    </mc:Choice>
  </mc:AlternateContent>
  <xr:revisionPtr revIDLastSave="0" documentId="13_ncr:1_{F0A0F3C8-C346-4872-9049-B71408C61690}" xr6:coauthVersionLast="47" xr6:coauthVersionMax="47" xr10:uidLastSave="{00000000-0000-0000-0000-000000000000}"/>
  <bookViews>
    <workbookView xWindow="-28920" yWindow="1995" windowWidth="29040" windowHeight="15720" tabRatio="1000" xr2:uid="{9B4A811D-2930-42F9-A0FE-92F9ECDA17FA}"/>
  </bookViews>
  <sheets>
    <sheet name="VORWORT" sheetId="1" r:id="rId1"/>
    <sheet name="UNTERNEHMUNG" sheetId="2" r:id="rId2"/>
    <sheet name="helper_UNTERNEHMUNG" sheetId="17" state="veryHidden" r:id="rId3"/>
    <sheet name="assets_UNTERNEHMUNG" sheetId="25" state="veryHidden" r:id="rId4"/>
    <sheet name="ENERGIETECHNIK" sheetId="4" r:id="rId5"/>
    <sheet name="helper_ENERGIETECHNIK" sheetId="19" state="veryHidden" r:id="rId6"/>
    <sheet name="PROZESSTECHNIK" sheetId="10" r:id="rId7"/>
    <sheet name="helper_PROZESSTECHNIK" sheetId="21" state="veryHidden" r:id="rId8"/>
    <sheet name="DIGITALISIERUNG" sheetId="11" r:id="rId9"/>
    <sheet name="helper_DIGITALISIERUNG" sheetId="22" state="veryHidden" r:id="rId10"/>
    <sheet name="FLEXIBILISIERUNG" sheetId="12" r:id="rId11"/>
    <sheet name="helper_FLEXIBILISIERUNG" sheetId="23" state="veryHidden" r:id="rId12"/>
    <sheet name="ERGEBNISSE" sheetId="9" r:id="rId13"/>
    <sheet name="helper_ERGEBNISSE" sheetId="29" state="veryHidden" r:id="rId14"/>
    <sheet name="helper_ZIELSETZUNG" sheetId="30" state="veryHidden" r:id="rId15"/>
    <sheet name="LASTGÄNGE" sheetId="5" r:id="rId16"/>
    <sheet name="helper_LASTGÄNGE" sheetId="18" state="veryHidden" r:id="rId17"/>
    <sheet name="export_LASTGÄNGE" sheetId="24" state="veryHidden" r:id="rId18"/>
  </sheets>
  <definedNames>
    <definedName name="DIGITALISIERUNG_FILLED">helper_DIGITALISIERUNG!$B$17</definedName>
    <definedName name="ENERGIETECHNIK_FILLED">helper_ENERGIETECHNIK!$B$37</definedName>
    <definedName name="FLEXIBILISIERUNG_FILLED">helper_FLEXIBILISIERUNG!$B$10</definedName>
    <definedName name="_xlnm.Print_Titles" localSheetId="12">ERGEBNISSE!$1:$4</definedName>
    <definedName name="PROZESSTECHNIK_FILLED">helper_PROZESSTECHNIK!$B$20</definedName>
    <definedName name="SATURATION">_xlfn.LAMBDA(_xlpm.val,_xlpm.min,_xlpm.max,MIN(_xlpm.max,MAX(_xlpm.min,_xlpm.val)))</definedName>
    <definedName name="TriangleSelection">INDEX(assets_UNTERNEHMUNG!$A$1:$A$2,IF(helper_UNTERNEHMUNG!$B$4=5,1,2))</definedName>
    <definedName name="UMRECHNER_Einheiten_Selektor">_xlfn.XLOOKUP(#REF!,#REF!,#REF!):_xlfn.XLOOKUP(#REF!,#REF!,#REF!,,,-1)</definedName>
    <definedName name="UMRECHNER_Spezifikations_Selektor">_xlfn.XLOOKUP(#REF!,#REF!,#REF!):_xlfn.XLOOKUP(#REF!,#REF!,#REF!,,,-1)</definedName>
    <definedName name="UNTERNEHMUNG_FILLED">helper_UNTERNEHMUNG!$B$75</definedName>
    <definedName name="xDaten1">OFFSET(LASTGÄNGE!$A$26, 0, 0, COUNTA(LASTGÄNGE!$A:$A)-1)</definedName>
    <definedName name="yDaten1">OFFSET(LASTGÄNGE!$B$26, 0, 0, COUNTA(LASTGÄNGE!$A:$A)-1)</definedName>
    <definedName name="yDaten2">OFFSET(LASTGÄNGE!$C$26, 0, 0, COUNTA(LASTGÄNGE!$A:$A)-1)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4" i="29" l="1"/>
  <c r="L88" i="29" a="1"/>
  <c r="L88" i="29" s="1"/>
  <c r="L87" i="29" a="1"/>
  <c r="L87" i="29" s="1"/>
  <c r="L86" i="29" a="1"/>
  <c r="L86" i="29" s="1"/>
  <c r="L85" i="29" a="1"/>
  <c r="L85" i="29" s="1"/>
  <c r="L84" i="29" a="1"/>
  <c r="L84" i="29" s="1"/>
  <c r="I82" i="29" a="1"/>
  <c r="I82" i="29" s="1"/>
  <c r="M56" i="29"/>
  <c r="M55" i="29"/>
  <c r="P53" i="29"/>
  <c r="O53" i="29"/>
  <c r="P48" i="29"/>
  <c r="O48" i="29"/>
  <c r="S49" i="29"/>
  <c r="H47" i="29"/>
  <c r="C36" i="29"/>
  <c r="C59" i="29" s="1"/>
  <c r="A56" i="9"/>
  <c r="G24" i="29"/>
  <c r="G25" i="29"/>
  <c r="G26" i="29"/>
  <c r="G27" i="29"/>
  <c r="G23" i="29"/>
  <c r="G106" i="29" a="1"/>
  <c r="G106" i="29" s="1"/>
  <c r="G6" i="29"/>
  <c r="B123" i="29"/>
  <c r="B124" i="29"/>
  <c r="B125" i="29"/>
  <c r="B126" i="29"/>
  <c r="B122" i="29"/>
  <c r="B29" i="19"/>
  <c r="M53" i="29"/>
  <c r="L53" i="29"/>
  <c r="K53" i="29"/>
  <c r="J53" i="29"/>
  <c r="M52" i="29"/>
  <c r="L52" i="29"/>
  <c r="K52" i="29"/>
  <c r="J52" i="29"/>
  <c r="L51" i="29"/>
  <c r="K51" i="29"/>
  <c r="J51" i="29"/>
  <c r="H50" i="29"/>
  <c r="L50" i="29"/>
  <c r="L49" i="29"/>
  <c r="J49" i="29"/>
  <c r="K49" i="29" s="1"/>
  <c r="R49" i="29" s="1"/>
  <c r="B24" i="19"/>
  <c r="C50" i="29" s="1"/>
  <c r="B22" i="19"/>
  <c r="M48" i="29"/>
  <c r="L48" i="29"/>
  <c r="K48" i="29"/>
  <c r="J48" i="29"/>
  <c r="H48" i="29"/>
  <c r="N47" i="29"/>
  <c r="T47" i="29" s="1"/>
  <c r="L47" i="29"/>
  <c r="S47" i="29" s="1"/>
  <c r="M47" i="29"/>
  <c r="K47" i="29"/>
  <c r="R47" i="29" s="1"/>
  <c r="J47" i="29"/>
  <c r="H53" i="29"/>
  <c r="H52" i="29"/>
  <c r="H51" i="29"/>
  <c r="H49" i="29"/>
  <c r="A51" i="9"/>
  <c r="A52" i="9"/>
  <c r="A53" i="9"/>
  <c r="A54" i="9"/>
  <c r="A55" i="9"/>
  <c r="A50" i="9"/>
  <c r="A47" i="9"/>
  <c r="A48" i="9"/>
  <c r="A46" i="9"/>
  <c r="A64" i="9"/>
  <c r="B35" i="19"/>
  <c r="G59" i="29" l="1"/>
  <c r="A57" i="9"/>
  <c r="R51" i="29"/>
  <c r="R48" i="29"/>
  <c r="R53" i="29"/>
  <c r="R52" i="29"/>
  <c r="A62" i="9"/>
  <c r="A63" i="9"/>
  <c r="A61" i="9"/>
  <c r="E3" i="30"/>
  <c r="E4" i="30"/>
  <c r="E5" i="30"/>
  <c r="E6" i="30"/>
  <c r="E7" i="30"/>
  <c r="E8" i="30"/>
  <c r="E9" i="30"/>
  <c r="E10" i="30"/>
  <c r="E11" i="30"/>
  <c r="E12" i="30"/>
  <c r="E13" i="30"/>
  <c r="E14" i="30"/>
  <c r="E15" i="30"/>
  <c r="E16" i="30"/>
  <c r="E17" i="30"/>
  <c r="E18" i="30"/>
  <c r="E19" i="30"/>
  <c r="E20" i="30"/>
  <c r="E21" i="30"/>
  <c r="E2" i="30"/>
  <c r="D2" i="30"/>
  <c r="D3" i="30"/>
  <c r="D4" i="30"/>
  <c r="D5" i="30"/>
  <c r="D6" i="30"/>
  <c r="D7" i="30"/>
  <c r="D9" i="30"/>
  <c r="D10" i="30"/>
  <c r="D11" i="30"/>
  <c r="D12" i="30"/>
  <c r="D13" i="30"/>
  <c r="D14" i="30"/>
  <c r="D15" i="30"/>
  <c r="D16" i="30"/>
  <c r="D17" i="30"/>
  <c r="D18" i="30"/>
  <c r="D19" i="30"/>
  <c r="D20" i="30"/>
  <c r="D21" i="30"/>
  <c r="D8" i="30"/>
  <c r="H16" i="29"/>
  <c r="H17" i="29"/>
  <c r="H18" i="29"/>
  <c r="H42" i="29"/>
  <c r="H30" i="29"/>
  <c r="H31" i="29"/>
  <c r="J31" i="29" s="1"/>
  <c r="H32" i="29"/>
  <c r="J32" i="29" s="1"/>
  <c r="H33" i="29"/>
  <c r="J33" i="29" s="1"/>
  <c r="H34" i="29"/>
  <c r="J34" i="29" s="1"/>
  <c r="H35" i="29"/>
  <c r="J35" i="29" s="1"/>
  <c r="H29" i="29"/>
  <c r="J29" i="29" s="1"/>
  <c r="G42" i="29" s="1" a="1"/>
  <c r="G42" i="29" s="1"/>
  <c r="C30" i="29"/>
  <c r="C31" i="29"/>
  <c r="C32" i="29"/>
  <c r="C33" i="29"/>
  <c r="C34" i="29"/>
  <c r="C35" i="29"/>
  <c r="C29" i="29"/>
  <c r="H56" i="29"/>
  <c r="I56" i="29"/>
  <c r="J56" i="29"/>
  <c r="H57" i="29"/>
  <c r="I57" i="29"/>
  <c r="J57" i="29"/>
  <c r="J55" i="29"/>
  <c r="I55" i="29"/>
  <c r="H55" i="29"/>
  <c r="H38" i="29" l="1"/>
  <c r="H37" i="29"/>
  <c r="L57" i="29"/>
  <c r="M57" i="29"/>
  <c r="N57" i="29"/>
  <c r="H41" i="29"/>
  <c r="I41" i="29" s="1"/>
  <c r="J30" i="29"/>
  <c r="L55" i="29"/>
  <c r="L56" i="29"/>
  <c r="H45" i="29" a="1"/>
  <c r="H45" i="29" s="1"/>
  <c r="H44" i="29" a="1"/>
  <c r="H44" i="29" s="1"/>
  <c r="C57" i="29"/>
  <c r="B34" i="19"/>
  <c r="C56" i="29" s="1"/>
  <c r="B33" i="19"/>
  <c r="C55" i="29" s="1"/>
  <c r="I118" i="29"/>
  <c r="H118" i="29" s="1"/>
  <c r="I116" i="29"/>
  <c r="H116" i="29" s="1"/>
  <c r="I109" i="29"/>
  <c r="H109" i="29" s="1"/>
  <c r="I107" i="29"/>
  <c r="H107" i="29" s="1"/>
  <c r="I93" i="29"/>
  <c r="H93" i="29" s="1"/>
  <c r="I89" i="29"/>
  <c r="H89" i="29" s="1"/>
  <c r="I63" i="29"/>
  <c r="H63" i="29" s="1"/>
  <c r="I61" i="29"/>
  <c r="H61" i="29" s="1"/>
  <c r="I59" i="29"/>
  <c r="H59" i="29" s="1"/>
  <c r="I8" i="29"/>
  <c r="H8" i="29" s="1"/>
  <c r="N52" i="29" l="1"/>
  <c r="S52" i="29" s="1"/>
  <c r="I40" i="29"/>
  <c r="M51" i="29"/>
  <c r="I51" i="29"/>
  <c r="H40" i="29"/>
  <c r="I52" i="29"/>
  <c r="I53" i="29"/>
  <c r="I50" i="29"/>
  <c r="I47" i="29"/>
  <c r="G47" i="29" s="1" a="1"/>
  <c r="G47" i="29" s="1"/>
  <c r="I49" i="29"/>
  <c r="I48" i="29"/>
  <c r="Q48" i="29" s="1"/>
  <c r="Q51" i="29"/>
  <c r="S51" i="29"/>
  <c r="Q52" i="29"/>
  <c r="H46" i="29"/>
  <c r="G55" i="29" a="1"/>
  <c r="G55" i="29" s="1"/>
  <c r="G56" i="29" a="1"/>
  <c r="G56" i="29" s="1"/>
  <c r="G57" i="29" a="1"/>
  <c r="G57" i="29" s="1"/>
  <c r="C61" i="29"/>
  <c r="A65" i="9" s="1"/>
  <c r="Q47" i="29" l="1"/>
  <c r="Q49" i="29"/>
  <c r="Q53" i="29"/>
  <c r="S53" i="29"/>
  <c r="S48" i="29"/>
  <c r="H7" i="29"/>
  <c r="H6" i="29"/>
  <c r="A83" i="9"/>
  <c r="A84" i="9"/>
  <c r="A82" i="9"/>
  <c r="H73" i="29"/>
  <c r="H72" i="29"/>
  <c r="G61" i="29"/>
  <c r="D6" i="23"/>
  <c r="D7" i="23"/>
  <c r="D5" i="23"/>
  <c r="D6" i="21" l="1"/>
  <c r="B6" i="21" s="1"/>
  <c r="D5" i="21"/>
  <c r="B5" i="21" s="1"/>
  <c r="G124" i="9"/>
  <c r="G123" i="9"/>
  <c r="B124" i="9"/>
  <c r="B123" i="9"/>
  <c r="G102" i="9"/>
  <c r="G101" i="9"/>
  <c r="B102" i="9"/>
  <c r="B101" i="9"/>
  <c r="G72" i="9"/>
  <c r="G73" i="9"/>
  <c r="B73" i="9"/>
  <c r="B72" i="9"/>
  <c r="G33" i="9"/>
  <c r="G32" i="9"/>
  <c r="B33" i="9"/>
  <c r="B32" i="9"/>
  <c r="G7" i="9"/>
  <c r="G8" i="9"/>
  <c r="B8" i="9"/>
  <c r="B7" i="9"/>
  <c r="A20" i="9"/>
  <c r="B4" i="9"/>
  <c r="B3" i="9"/>
  <c r="G3" i="9"/>
  <c r="B29" i="17"/>
  <c r="A115" i="9"/>
  <c r="A130" i="9"/>
  <c r="C118" i="29"/>
  <c r="G118" i="29" s="1"/>
  <c r="C109" i="29"/>
  <c r="A119" i="9" s="1"/>
  <c r="C93" i="29"/>
  <c r="A97" i="9" s="1"/>
  <c r="C89" i="29"/>
  <c r="B92" i="9" s="1"/>
  <c r="C63" i="29"/>
  <c r="I85" i="29"/>
  <c r="I86" i="29"/>
  <c r="I87" i="29"/>
  <c r="I88" i="29"/>
  <c r="I84" i="29"/>
  <c r="AL1" i="18"/>
  <c r="AF1" i="18"/>
  <c r="Z1" i="18"/>
  <c r="T1" i="18"/>
  <c r="N1" i="18"/>
  <c r="R5" i="5" s="1"/>
  <c r="H1" i="18"/>
  <c r="B1" i="18"/>
  <c r="H91" i="29" s="1"/>
  <c r="L95" i="9" s="1"/>
  <c r="B95" i="9" s="1"/>
  <c r="A15" i="9"/>
  <c r="H85" i="29"/>
  <c r="H86" i="29"/>
  <c r="H87" i="29"/>
  <c r="H88" i="29"/>
  <c r="H84" i="29"/>
  <c r="G70" i="29"/>
  <c r="B8" i="21"/>
  <c r="C70" i="29" s="1"/>
  <c r="G68" i="29"/>
  <c r="G69" i="29"/>
  <c r="G67" i="29"/>
  <c r="G63" i="29" l="1"/>
  <c r="G85" i="29"/>
  <c r="K85" i="29" s="1" a="1"/>
  <c r="K85" i="29" s="1"/>
  <c r="G88" i="29"/>
  <c r="K88" i="29" s="1" a="1"/>
  <c r="K88" i="29" s="1"/>
  <c r="G87" i="29"/>
  <c r="G86" i="29"/>
  <c r="K86" i="29" s="1" a="1"/>
  <c r="K86" i="29" s="1"/>
  <c r="O84" i="29" a="1"/>
  <c r="O84" i="29" s="1"/>
  <c r="N84" i="29" a="1"/>
  <c r="M84" i="29" a="1"/>
  <c r="M84" i="29" s="1"/>
  <c r="B87" i="9" s="1" a="1"/>
  <c r="B87" i="9" s="1"/>
  <c r="A68" i="9"/>
  <c r="G89" i="29"/>
  <c r="G93" i="29"/>
  <c r="A134" i="9"/>
  <c r="G109" i="29"/>
  <c r="C91" i="29"/>
  <c r="G91" i="29" s="1"/>
  <c r="G19" i="29"/>
  <c r="G11" i="29"/>
  <c r="B41" i="17"/>
  <c r="T28" i="2" s="1"/>
  <c r="B42" i="17"/>
  <c r="T29" i="2" s="1"/>
  <c r="B43" i="17"/>
  <c r="T30" i="2" s="1"/>
  <c r="B44" i="17"/>
  <c r="T31" i="2" s="1"/>
  <c r="B45" i="17"/>
  <c r="B46" i="17"/>
  <c r="T33" i="2" s="1"/>
  <c r="B47" i="17"/>
  <c r="T34" i="2" s="1"/>
  <c r="B48" i="17"/>
  <c r="T35" i="2" s="1"/>
  <c r="B49" i="17"/>
  <c r="T36" i="2" s="1"/>
  <c r="B50" i="17"/>
  <c r="T37" i="2" s="1"/>
  <c r="B51" i="17"/>
  <c r="T38" i="2" s="1"/>
  <c r="B52" i="17"/>
  <c r="T39" i="2" s="1"/>
  <c r="B53" i="17"/>
  <c r="T40" i="2" s="1"/>
  <c r="B40" i="17"/>
  <c r="G5" i="29"/>
  <c r="G4" i="29"/>
  <c r="B39" i="17"/>
  <c r="B36" i="17"/>
  <c r="AK1" i="24"/>
  <c r="AE1" i="24"/>
  <c r="Y1" i="24"/>
  <c r="S1" i="24"/>
  <c r="M1" i="24"/>
  <c r="G1" i="24"/>
  <c r="A1" i="24"/>
  <c r="AL2" i="24" a="1"/>
  <c r="AL2" i="24" s="1"/>
  <c r="AF2" i="24" a="1"/>
  <c r="AF2" i="24" s="1"/>
  <c r="Z2" i="24" a="1"/>
  <c r="Z2" i="24" s="1"/>
  <c r="T2" i="24" a="1"/>
  <c r="T2" i="24" s="1"/>
  <c r="N2" i="24" a="1"/>
  <c r="N2" i="24" s="1"/>
  <c r="H2" i="24" a="1"/>
  <c r="H2" i="24" s="1"/>
  <c r="B2" i="24" a="1"/>
  <c r="B2" i="24" s="1"/>
  <c r="A3" i="18" a="1"/>
  <c r="A3" i="18" s="1"/>
  <c r="AK3" i="18" a="1"/>
  <c r="AK3" i="18" s="1"/>
  <c r="AE3" i="18" a="1"/>
  <c r="AE3" i="18" s="1"/>
  <c r="Y3" i="18" a="1"/>
  <c r="Y3" i="18" s="1"/>
  <c r="S3" i="18" a="1"/>
  <c r="S3" i="18" s="1"/>
  <c r="M3" i="18" a="1"/>
  <c r="M3" i="18" s="1"/>
  <c r="G3" i="18" a="1"/>
  <c r="G3" i="18" s="1"/>
  <c r="R74" i="4"/>
  <c r="R73" i="4"/>
  <c r="R72" i="4"/>
  <c r="E23" i="19"/>
  <c r="E22" i="19"/>
  <c r="B18" i="19"/>
  <c r="B14" i="19"/>
  <c r="C42" i="29" s="1"/>
  <c r="B12" i="19"/>
  <c r="R24" i="4" s="1"/>
  <c r="C13" i="19"/>
  <c r="B6" i="19"/>
  <c r="B7" i="19"/>
  <c r="B8" i="19"/>
  <c r="B9" i="19"/>
  <c r="B5" i="19"/>
  <c r="B2" i="19"/>
  <c r="R3" i="4" s="1"/>
  <c r="B15" i="22"/>
  <c r="B14" i="22"/>
  <c r="B6" i="22"/>
  <c r="B7" i="22"/>
  <c r="B8" i="22"/>
  <c r="B9" i="22"/>
  <c r="B10" i="22"/>
  <c r="B11" i="22"/>
  <c r="B12" i="22"/>
  <c r="B13" i="22"/>
  <c r="C105" i="29" s="1"/>
  <c r="B5" i="22"/>
  <c r="B2" i="22"/>
  <c r="S4" i="11" s="1"/>
  <c r="B8" i="23"/>
  <c r="B7" i="23"/>
  <c r="B6" i="23"/>
  <c r="B5" i="23"/>
  <c r="B2" i="23"/>
  <c r="R3" i="12" s="1"/>
  <c r="B15" i="21"/>
  <c r="B16" i="21"/>
  <c r="B17" i="21"/>
  <c r="B18" i="21"/>
  <c r="B14" i="21"/>
  <c r="B10" i="21"/>
  <c r="B9" i="21"/>
  <c r="Q21" i="10"/>
  <c r="B7" i="21"/>
  <c r="C67" i="29"/>
  <c r="B2" i="21"/>
  <c r="Q4" i="10" s="1"/>
  <c r="B34" i="17"/>
  <c r="C6" i="29" s="1"/>
  <c r="T3" i="2"/>
  <c r="B35" i="17" a="1"/>
  <c r="B35" i="17" s="1"/>
  <c r="D33" i="17"/>
  <c r="B33" i="17" s="1"/>
  <c r="D32" i="17"/>
  <c r="B32" i="17" s="1"/>
  <c r="P46" i="2"/>
  <c r="B58" i="17" s="1"/>
  <c r="T46" i="2" s="1"/>
  <c r="P43" i="2"/>
  <c r="D43" i="2" s="1"/>
  <c r="S45" i="2"/>
  <c r="S46" i="2"/>
  <c r="S47" i="2"/>
  <c r="S48" i="2"/>
  <c r="S49" i="2"/>
  <c r="S50" i="2"/>
  <c r="S51" i="2"/>
  <c r="S52" i="2"/>
  <c r="S53" i="2"/>
  <c r="S54" i="2"/>
  <c r="S55" i="2"/>
  <c r="S56" i="2"/>
  <c r="S57" i="2"/>
  <c r="S58" i="2"/>
  <c r="S44" i="2"/>
  <c r="P45" i="2"/>
  <c r="P47" i="2"/>
  <c r="B59" i="17" s="1"/>
  <c r="T47" i="2" s="1"/>
  <c r="P48" i="2"/>
  <c r="B60" i="17" s="1"/>
  <c r="T48" i="2" s="1"/>
  <c r="P49" i="2"/>
  <c r="B61" i="17" s="1"/>
  <c r="T49" i="2" s="1"/>
  <c r="P50" i="2"/>
  <c r="B62" i="17" s="1"/>
  <c r="T50" i="2" s="1"/>
  <c r="P51" i="2"/>
  <c r="B63" i="17" s="1"/>
  <c r="T51" i="2" s="1"/>
  <c r="P52" i="2"/>
  <c r="B64" i="17" s="1"/>
  <c r="T52" i="2" s="1"/>
  <c r="P53" i="2"/>
  <c r="B65" i="17" s="1"/>
  <c r="T53" i="2" s="1"/>
  <c r="P54" i="2"/>
  <c r="B66" i="17" s="1"/>
  <c r="T54" i="2" s="1"/>
  <c r="P55" i="2"/>
  <c r="B67" i="17" s="1"/>
  <c r="T55" i="2" s="1"/>
  <c r="P56" i="2"/>
  <c r="B68" i="17" s="1"/>
  <c r="T56" i="2" s="1"/>
  <c r="P57" i="2"/>
  <c r="B69" i="17" s="1"/>
  <c r="T57" i="2" s="1"/>
  <c r="P58" i="2"/>
  <c r="B70" i="17" s="1"/>
  <c r="T58" i="2" s="1"/>
  <c r="P44" i="2"/>
  <c r="X5" i="5"/>
  <c r="AD5" i="5"/>
  <c r="AJ5" i="5"/>
  <c r="AP5" i="5"/>
  <c r="L5" i="5"/>
  <c r="F5" i="5"/>
  <c r="AL1" i="24" a="1"/>
  <c r="AL1" i="24" s="1"/>
  <c r="AF1" i="24" a="1"/>
  <c r="AF1" i="24" s="1"/>
  <c r="Z1" i="24" a="1"/>
  <c r="Z1" i="24" s="1"/>
  <c r="T1" i="24" a="1"/>
  <c r="T1" i="24" s="1"/>
  <c r="N1" i="24" a="1"/>
  <c r="N1" i="24" s="1"/>
  <c r="H1" i="24" a="1"/>
  <c r="H1" i="24" s="1"/>
  <c r="AL2" i="18" a="1"/>
  <c r="AL2" i="18" s="1"/>
  <c r="AF2" i="18" a="1"/>
  <c r="AF2" i="18" s="1"/>
  <c r="Z2" i="18" a="1"/>
  <c r="Z2" i="18" s="1"/>
  <c r="T2" i="18" a="1"/>
  <c r="T2" i="18" s="1"/>
  <c r="N2" i="18" a="1"/>
  <c r="N2" i="18" s="1"/>
  <c r="H2" i="18" a="1"/>
  <c r="H2" i="18" s="1"/>
  <c r="AK1" i="18"/>
  <c r="AE1" i="18"/>
  <c r="Y1" i="18"/>
  <c r="S1" i="18"/>
  <c r="M1" i="18"/>
  <c r="G1" i="18"/>
  <c r="A1" i="18"/>
  <c r="B1" i="24" a="1"/>
  <c r="B1" i="24" s="1"/>
  <c r="B2" i="18" a="1"/>
  <c r="B2" i="18" s="1"/>
  <c r="E29" i="19"/>
  <c r="E30" i="19"/>
  <c r="E27" i="19"/>
  <c r="E28" i="19"/>
  <c r="E25" i="19"/>
  <c r="E26" i="19"/>
  <c r="B57" i="17" l="1"/>
  <c r="T45" i="2" s="1"/>
  <c r="I14" i="29" a="1"/>
  <c r="I14" i="29" s="1"/>
  <c r="T27" i="2"/>
  <c r="I11" i="29" a="1"/>
  <c r="I11" i="29" s="1"/>
  <c r="I12" i="29" s="1" a="1"/>
  <c r="I12" i="29" s="1"/>
  <c r="H12" i="29" s="1" a="1"/>
  <c r="H12" i="29" s="1"/>
  <c r="C53" i="29"/>
  <c r="G53" i="29" s="1" a="1"/>
  <c r="G53" i="29" s="1"/>
  <c r="B27" i="19"/>
  <c r="G27" i="19"/>
  <c r="B25" i="19"/>
  <c r="R48" i="4"/>
  <c r="C49" i="29"/>
  <c r="G49" i="29" s="1" a="1"/>
  <c r="G49" i="29" s="1"/>
  <c r="R38" i="4"/>
  <c r="C47" i="29"/>
  <c r="G31" i="4"/>
  <c r="H39" i="29" s="1"/>
  <c r="H77" i="29"/>
  <c r="I75" i="29" a="1"/>
  <c r="I75" i="29" s="1"/>
  <c r="I74" i="29" a="1"/>
  <c r="I74" i="29" s="1"/>
  <c r="T32" i="2"/>
  <c r="H10" i="29"/>
  <c r="R17" i="4"/>
  <c r="C25" i="29"/>
  <c r="R16" i="4"/>
  <c r="C24" i="29"/>
  <c r="R18" i="4"/>
  <c r="C26" i="29"/>
  <c r="R32" i="4"/>
  <c r="R19" i="4"/>
  <c r="C27" i="29"/>
  <c r="R15" i="4"/>
  <c r="C23" i="29"/>
  <c r="R19" i="12"/>
  <c r="C115" i="29"/>
  <c r="G115" i="29" s="1"/>
  <c r="S24" i="11"/>
  <c r="G104" i="29"/>
  <c r="A112" i="9" s="1"/>
  <c r="C104" i="29"/>
  <c r="S23" i="11"/>
  <c r="C103" i="29"/>
  <c r="G103" i="29"/>
  <c r="A111" i="9" s="1"/>
  <c r="S22" i="11"/>
  <c r="C102" i="29"/>
  <c r="G102" i="29"/>
  <c r="A110" i="9" s="1"/>
  <c r="S21" i="11"/>
  <c r="C101" i="29"/>
  <c r="G101" i="29"/>
  <c r="A109" i="9" s="1"/>
  <c r="S20" i="11"/>
  <c r="C100" i="29"/>
  <c r="G100" i="29"/>
  <c r="A108" i="9" s="1"/>
  <c r="S19" i="11"/>
  <c r="C99" i="29"/>
  <c r="G99" i="29"/>
  <c r="A107" i="9" s="1"/>
  <c r="C98" i="29"/>
  <c r="G98" i="29"/>
  <c r="A106" i="9" s="1"/>
  <c r="A114" i="9"/>
  <c r="C106" i="29"/>
  <c r="G97" i="29"/>
  <c r="A105" i="9" s="1"/>
  <c r="C97" i="29"/>
  <c r="K87" i="29" a="1"/>
  <c r="K87" i="29" s="1"/>
  <c r="P84" i="29" a="1"/>
  <c r="P84" i="29" s="1"/>
  <c r="K84" i="29" a="1"/>
  <c r="K84" i="29" s="1"/>
  <c r="N84" i="29"/>
  <c r="Q18" i="10"/>
  <c r="C68" i="29"/>
  <c r="Q20" i="10"/>
  <c r="C69" i="29"/>
  <c r="Q22" i="10"/>
  <c r="C72" i="29"/>
  <c r="Q23" i="10"/>
  <c r="C73" i="29"/>
  <c r="Q29" i="10"/>
  <c r="C87" i="29"/>
  <c r="Q27" i="10"/>
  <c r="C85" i="29"/>
  <c r="Q28" i="10"/>
  <c r="C86" i="29"/>
  <c r="Q26" i="10"/>
  <c r="C84" i="29"/>
  <c r="Q30" i="10"/>
  <c r="C88" i="29"/>
  <c r="T17" i="2"/>
  <c r="C5" i="29"/>
  <c r="S27" i="11"/>
  <c r="C107" i="29"/>
  <c r="R21" i="12"/>
  <c r="C116" i="29"/>
  <c r="A131" i="9" s="1"/>
  <c r="T20" i="2"/>
  <c r="C7" i="29"/>
  <c r="T15" i="2"/>
  <c r="C4" i="29"/>
  <c r="R17" i="12"/>
  <c r="C114" i="29"/>
  <c r="G114" i="29" s="1"/>
  <c r="R15" i="12"/>
  <c r="C113" i="29"/>
  <c r="C8" i="29"/>
  <c r="T26" i="2"/>
  <c r="C12" i="29"/>
  <c r="C11" i="29"/>
  <c r="C10" i="29"/>
  <c r="S25" i="11"/>
  <c r="G105" i="29"/>
  <c r="A113" i="9" s="1"/>
  <c r="S26" i="11"/>
  <c r="S17" i="11"/>
  <c r="B17" i="22" a="1"/>
  <c r="B17" i="22" s="1"/>
  <c r="T21" i="2"/>
  <c r="S18" i="11"/>
  <c r="B10" i="23" a="1"/>
  <c r="B10" i="23" s="1"/>
  <c r="Q16" i="10"/>
  <c r="B56" i="17"/>
  <c r="G7" i="29" a="1"/>
  <c r="G7" i="29" s="1"/>
  <c r="T19" i="2"/>
  <c r="B13" i="21"/>
  <c r="Q25" i="10" s="1"/>
  <c r="M43" i="2"/>
  <c r="I43" i="2"/>
  <c r="F43" i="2"/>
  <c r="J40" i="29" l="1"/>
  <c r="I34" i="29"/>
  <c r="I35" i="29"/>
  <c r="I29" i="29"/>
  <c r="K29" i="29" s="1"/>
  <c r="L29" i="29" s="1"/>
  <c r="I32" i="29"/>
  <c r="I30" i="29"/>
  <c r="I31" i="29"/>
  <c r="I33" i="29"/>
  <c r="K33" i="29" s="1"/>
  <c r="L33" i="29" s="1"/>
  <c r="R63" i="4"/>
  <c r="R53" i="4"/>
  <c r="C51" i="29"/>
  <c r="G51" i="29" s="1" a="1"/>
  <c r="G51" i="29" s="1"/>
  <c r="R58" i="4"/>
  <c r="C52" i="29"/>
  <c r="G52" i="29" s="1" a="1"/>
  <c r="G52" i="29" s="1"/>
  <c r="R43" i="4"/>
  <c r="C48" i="29"/>
  <c r="G40" i="29" a="1"/>
  <c r="G40" i="29" s="1"/>
  <c r="A128" i="9"/>
  <c r="A129" i="9"/>
  <c r="E94" i="29" a="1"/>
  <c r="E94" i="29" s="1"/>
  <c r="C124" i="29" s="1"/>
  <c r="H75" i="29"/>
  <c r="I76" i="29" a="1"/>
  <c r="I76" i="29" s="1"/>
  <c r="H74" i="29"/>
  <c r="H78" i="29" s="1"/>
  <c r="G10" i="29"/>
  <c r="B37" i="19" a="1"/>
  <c r="B37" i="19" s="1"/>
  <c r="G128" i="9"/>
  <c r="G129" i="9"/>
  <c r="D129" i="9"/>
  <c r="D128" i="9"/>
  <c r="J129" i="9"/>
  <c r="J128" i="9"/>
  <c r="J127" i="9"/>
  <c r="L121" i="9"/>
  <c r="G114" i="9"/>
  <c r="D114" i="9"/>
  <c r="G113" i="9"/>
  <c r="D113" i="9"/>
  <c r="G112" i="9"/>
  <c r="D112" i="9"/>
  <c r="G111" i="9"/>
  <c r="D111" i="9"/>
  <c r="D106" i="9"/>
  <c r="G106" i="9"/>
  <c r="D107" i="9"/>
  <c r="G107" i="9"/>
  <c r="D108" i="9"/>
  <c r="D109" i="9"/>
  <c r="G108" i="9"/>
  <c r="G109" i="9"/>
  <c r="G110" i="9"/>
  <c r="D110" i="9"/>
  <c r="G105" i="9"/>
  <c r="D105" i="9"/>
  <c r="J113" i="9"/>
  <c r="J112" i="9"/>
  <c r="J111" i="9"/>
  <c r="J110" i="9"/>
  <c r="J108" i="9"/>
  <c r="J114" i="9"/>
  <c r="J106" i="9"/>
  <c r="J105" i="9"/>
  <c r="J109" i="9"/>
  <c r="J107" i="9"/>
  <c r="L99" i="9"/>
  <c r="E110" i="29" a="1"/>
  <c r="E110" i="29" s="1"/>
  <c r="C125" i="29" s="1"/>
  <c r="R84" i="29" a="1"/>
  <c r="Q84" i="29" a="1"/>
  <c r="G12" i="29"/>
  <c r="G113" i="29"/>
  <c r="G127" i="9" s="1"/>
  <c r="E119" i="29" a="1"/>
  <c r="E119" i="29" s="1"/>
  <c r="C126" i="29" s="1"/>
  <c r="T44" i="2"/>
  <c r="C14" i="29"/>
  <c r="G8" i="29"/>
  <c r="A16" i="9"/>
  <c r="G107" i="29"/>
  <c r="G110" i="29" s="1"/>
  <c r="D125" i="29" s="1"/>
  <c r="A116" i="9"/>
  <c r="G116" i="29"/>
  <c r="B20" i="21" a="1"/>
  <c r="B20" i="21" s="1"/>
  <c r="H14" i="29" a="1"/>
  <c r="H14" i="29" s="1"/>
  <c r="G14" i="29" s="1"/>
  <c r="A11" i="17" a="1"/>
  <c r="A11" i="17" s="1"/>
  <c r="C54" i="9" l="1"/>
  <c r="C55" i="9"/>
  <c r="C53" i="9"/>
  <c r="C52" i="9"/>
  <c r="C51" i="9"/>
  <c r="E64" i="29" a="1"/>
  <c r="E64" i="29" s="1"/>
  <c r="C123" i="29" s="1"/>
  <c r="G48" i="29" a="1"/>
  <c r="G48" i="29" s="1"/>
  <c r="I51" i="9" s="1" a="1"/>
  <c r="I51" i="9" s="1"/>
  <c r="C50" i="9"/>
  <c r="I52" i="9" a="1"/>
  <c r="I52" i="9" s="1"/>
  <c r="I54" i="9" a="1"/>
  <c r="I54" i="9" s="1"/>
  <c r="I53" i="9" a="1"/>
  <c r="I53" i="9" s="1"/>
  <c r="I55" i="9" a="1"/>
  <c r="I55" i="9" s="1"/>
  <c r="I50" i="9" a="1"/>
  <c r="I50" i="9" s="1"/>
  <c r="C48" i="9" a="1"/>
  <c r="C48" i="9" s="1"/>
  <c r="I46" i="9" a="1"/>
  <c r="I46" i="9" s="1"/>
  <c r="I48" i="9" a="1"/>
  <c r="I48" i="9" s="1"/>
  <c r="C46" i="9"/>
  <c r="G43" i="9"/>
  <c r="E43" i="9"/>
  <c r="E44" i="9"/>
  <c r="C44" i="9"/>
  <c r="C43" i="9"/>
  <c r="G44" i="9"/>
  <c r="L62" i="9" a="1"/>
  <c r="L62" i="9" s="1"/>
  <c r="L63" i="9" a="1"/>
  <c r="L63" i="9" s="1"/>
  <c r="C63" i="9"/>
  <c r="I63" i="9"/>
  <c r="J63" i="9"/>
  <c r="C62" i="9"/>
  <c r="C61" i="9"/>
  <c r="I61" i="9"/>
  <c r="L61" i="9" a="1"/>
  <c r="L61" i="9" s="1"/>
  <c r="I62" i="9"/>
  <c r="A127" i="9"/>
  <c r="L91" i="9"/>
  <c r="L90" i="9"/>
  <c r="L89" i="9"/>
  <c r="L88" i="9"/>
  <c r="G88" i="9"/>
  <c r="G89" i="9"/>
  <c r="G90" i="9"/>
  <c r="C84" i="9"/>
  <c r="G91" i="9"/>
  <c r="C82" i="9"/>
  <c r="C83" i="9"/>
  <c r="K30" i="29"/>
  <c r="L30" i="29" s="1"/>
  <c r="K32" i="29"/>
  <c r="L32" i="29" s="1"/>
  <c r="K31" i="29"/>
  <c r="L31" i="29" s="1"/>
  <c r="K35" i="29"/>
  <c r="L35" i="29" s="1"/>
  <c r="K34" i="29"/>
  <c r="L34" i="29" s="1"/>
  <c r="H82" i="29" a="1"/>
  <c r="H82" i="29" s="1"/>
  <c r="H84" i="9" s="1"/>
  <c r="H76" i="29"/>
  <c r="E39" i="9"/>
  <c r="A40" i="9" a="1"/>
  <c r="A40" i="9" s="1"/>
  <c r="E40" i="9"/>
  <c r="A39" i="9" a="1"/>
  <c r="A39" i="9" s="1"/>
  <c r="A37" i="9" a="1"/>
  <c r="A37" i="9" s="1"/>
  <c r="E37" i="9"/>
  <c r="I37" i="9"/>
  <c r="A38" i="9" a="1"/>
  <c r="A38" i="9" s="1"/>
  <c r="E38" i="9"/>
  <c r="I38" i="9"/>
  <c r="I39" i="9"/>
  <c r="I40" i="9"/>
  <c r="I36" i="9"/>
  <c r="A36" i="9" a="1"/>
  <c r="A36" i="9" s="1"/>
  <c r="E36" i="9"/>
  <c r="L30" i="9"/>
  <c r="D127" i="9"/>
  <c r="G119" i="29"/>
  <c r="D126" i="29" s="1"/>
  <c r="A76" i="9" a="1"/>
  <c r="A76" i="9" s="1"/>
  <c r="A77" i="9" a="1"/>
  <c r="A77" i="9" s="1"/>
  <c r="A79" i="9" a="1"/>
  <c r="A79" i="9" s="1"/>
  <c r="A78" i="9" a="1"/>
  <c r="A78" i="9" s="1"/>
  <c r="E77" i="9"/>
  <c r="E76" i="9"/>
  <c r="E78" i="9"/>
  <c r="E79" i="9"/>
  <c r="Q84" i="29"/>
  <c r="L87" i="9" s="1"/>
  <c r="R84" i="29"/>
  <c r="G87" i="9" s="1"/>
  <c r="I77" i="9"/>
  <c r="I79" i="9" a="1"/>
  <c r="I79" i="9" s="1"/>
  <c r="I76" i="9"/>
  <c r="L70" i="9"/>
  <c r="B4" i="17"/>
  <c r="B73" i="17" s="1"/>
  <c r="I78" i="29" l="1" a="1"/>
  <c r="I78" i="29" s="1"/>
  <c r="I79" i="29" a="1"/>
  <c r="I79" i="29" s="1"/>
  <c r="I80" i="29" a="1"/>
  <c r="I80" i="29" s="1"/>
  <c r="I81" i="29" a="1"/>
  <c r="I81" i="29" s="1"/>
  <c r="H81" i="29" s="1" a="1"/>
  <c r="H81" i="29" s="1"/>
  <c r="H83" i="9" s="1"/>
  <c r="J41" i="29"/>
  <c r="G41" i="29" s="1"/>
  <c r="G64" i="29" s="1"/>
  <c r="D123" i="29" s="1"/>
  <c r="G82" i="29"/>
  <c r="I77" i="29" a="1"/>
  <c r="I77" i="29" s="1"/>
  <c r="H119" i="29"/>
  <c r="E126" i="29" s="1"/>
  <c r="B75" i="17" a="1"/>
  <c r="B75" i="17" s="1"/>
  <c r="C19" i="29"/>
  <c r="T61" i="2"/>
  <c r="A132" i="29" l="1" a="1"/>
  <c r="A132" i="29" s="1"/>
  <c r="A130" i="29" a="1"/>
  <c r="A130" i="29" s="1"/>
  <c r="A133" i="29" a="1"/>
  <c r="A133" i="29" s="1"/>
  <c r="A131" i="29" a="1"/>
  <c r="A131" i="29" s="1"/>
  <c r="I138" i="9"/>
  <c r="I47" i="9" a="1"/>
  <c r="I47" i="9" s="1"/>
  <c r="C47" i="9" a="1"/>
  <c r="C47" i="9" s="1"/>
  <c r="J84" i="9" a="1"/>
  <c r="J84" i="9" s="1"/>
  <c r="L84" i="9" a="1"/>
  <c r="L84" i="9" s="1"/>
  <c r="G14" i="9" a="1"/>
  <c r="G14" i="9" s="1"/>
  <c r="L21" i="9" a="1"/>
  <c r="L21" i="9" s="1"/>
  <c r="L20" i="9" a="1"/>
  <c r="L20" i="9" s="1"/>
  <c r="L24" i="9" a="1"/>
  <c r="L24" i="9" s="1"/>
  <c r="B24" i="9" s="1" a="1"/>
  <c r="B24" i="9" s="1"/>
  <c r="B26" i="9" a="1"/>
  <c r="B26" i="9" s="1"/>
  <c r="B28" i="9" a="1"/>
  <c r="B28" i="9" s="1"/>
  <c r="B27" i="9" a="1"/>
  <c r="B27" i="9" s="1"/>
  <c r="B29" i="9" a="1"/>
  <c r="B29" i="9" s="1"/>
  <c r="G81" i="29"/>
  <c r="D14" i="9" a="1"/>
  <c r="D14" i="9" s="1"/>
  <c r="J14" i="9" a="1"/>
  <c r="J14" i="9" s="1"/>
  <c r="A13" i="9" a="1"/>
  <c r="A13" i="9" s="1"/>
  <c r="D13" i="9" a="1"/>
  <c r="D13" i="9" s="1"/>
  <c r="G12" i="9"/>
  <c r="D12" i="9" a="1"/>
  <c r="D12" i="9" s="1"/>
  <c r="D11" i="9" a="1"/>
  <c r="D11" i="9" s="1"/>
  <c r="G11" i="9"/>
  <c r="D21" i="9" a="1"/>
  <c r="D21" i="9" s="1"/>
  <c r="D20" i="9" a="1"/>
  <c r="D20" i="9" s="1"/>
  <c r="H80" i="29" a="1"/>
  <c r="H80" i="29" s="1"/>
  <c r="H82" i="9" s="1"/>
  <c r="G20" i="29"/>
  <c r="D122" i="29" s="1"/>
  <c r="J11" i="9"/>
  <c r="J12" i="9"/>
  <c r="L5" i="9"/>
  <c r="A14" i="9"/>
  <c r="H110" i="29"/>
  <c r="E125" i="29" s="1"/>
  <c r="E20" i="29" a="1"/>
  <c r="E20" i="29" s="1"/>
  <c r="C122" i="29" s="1"/>
  <c r="G138" i="9" l="1"/>
  <c r="L83" i="9" a="1"/>
  <c r="L83" i="9" s="1"/>
  <c r="J83" i="9" a="1"/>
  <c r="J83" i="9" s="1"/>
  <c r="G80" i="29"/>
  <c r="H20" i="29"/>
  <c r="E122" i="29" s="1"/>
  <c r="H64" i="29"/>
  <c r="E123" i="29" s="1"/>
  <c r="A138" i="9" l="1"/>
  <c r="C138" i="9"/>
  <c r="L82" i="9" a="1"/>
  <c r="L82" i="9" s="1"/>
  <c r="J82" i="9" a="1"/>
  <c r="J82" i="9" s="1"/>
  <c r="G94" i="29"/>
  <c r="H94" i="29" l="1"/>
  <c r="E124" i="29" s="1"/>
  <c r="E127" i="29" s="1"/>
  <c r="D124" i="29"/>
  <c r="E138" i="9" l="1"/>
  <c r="A129" i="29" l="1" a="1"/>
  <c r="A129" i="29" s="1"/>
  <c r="A140" i="9" s="1"/>
  <c r="K138" i="9"/>
  <c r="K3" i="9"/>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<sst xmlns="http://schemas.openxmlformats.org/spreadsheetml/2006/main" count="960" uniqueCount="521">
  <si>
    <t>Betrieb</t>
  </si>
  <si>
    <t>Standortentwicklung</t>
  </si>
  <si>
    <t>Ansprechperson</t>
  </si>
  <si>
    <t>Firmenname</t>
  </si>
  <si>
    <t>Adresszeile 1</t>
  </si>
  <si>
    <t>Adresszeile 2</t>
  </si>
  <si>
    <t>Name</t>
  </si>
  <si>
    <t>Mail Adresse</t>
  </si>
  <si>
    <t>Telefon Nummer</t>
  </si>
  <si>
    <t>Position/Abteilung</t>
  </si>
  <si>
    <r>
      <t xml:space="preserve">Sind </t>
    </r>
    <r>
      <rPr>
        <b/>
        <sz val="10"/>
        <color theme="1"/>
        <rFont val="Calibri"/>
        <family val="2"/>
      </rPr>
      <t>produktionstechnische Neuerungen</t>
    </r>
    <r>
      <rPr>
        <sz val="10"/>
        <color theme="1"/>
        <rFont val="Calibri"/>
        <family val="2"/>
      </rPr>
      <t xml:space="preserve"> wie z.B. die Anschaffung neuer Anlagen fix geplant?</t>
    </r>
  </si>
  <si>
    <t>optional</t>
  </si>
  <si>
    <t>Kürzel</t>
  </si>
  <si>
    <t>Durchlaufzeit</t>
  </si>
  <si>
    <t>P1</t>
  </si>
  <si>
    <t>P2</t>
  </si>
  <si>
    <t>P3</t>
  </si>
  <si>
    <t>P4</t>
  </si>
  <si>
    <t>Nein</t>
  </si>
  <si>
    <t>Ja</t>
  </si>
  <si>
    <t>Wenn ja:</t>
  </si>
  <si>
    <r>
      <t xml:space="preserve">Dieses Kapitel widmet sich </t>
    </r>
    <r>
      <rPr>
        <b/>
        <sz val="10"/>
        <color theme="1"/>
        <rFont val="Calibri"/>
        <family val="2"/>
      </rPr>
      <t>allgemeinen Fragen zu ihrem Unternehmen</t>
    </r>
    <r>
      <rPr>
        <sz val="10"/>
        <color theme="1"/>
        <rFont val="Calibri"/>
        <family val="2"/>
      </rPr>
      <t xml:space="preserve">. Die Fragen in diesem Bereich zielen darauf ab 
  </t>
    </r>
    <r>
      <rPr>
        <sz val="10"/>
        <color theme="1"/>
        <rFont val="Aptos Narrow"/>
        <family val="2"/>
      </rPr>
      <t>•</t>
    </r>
    <r>
      <rPr>
        <sz val="10"/>
        <color theme="1"/>
        <rFont val="Calibri"/>
        <family val="2"/>
      </rPr>
      <t xml:space="preserve">  einen allgemeinen Überblick über das Unternehmen und die Produkte zu erhalten
  •  einen Rahmen für die Flexibilitätspotentiale abgrenzen zu können
  •  einen allgemeinen Überblick über das Unternehmen und die Produkte zu erhalten
  •  die Zielsetzung der Flexibilitätsanalyse zu spezifizieren</t>
    </r>
  </si>
  <si>
    <r>
      <t xml:space="preserve">Nehmen Sie bereits an </t>
    </r>
    <r>
      <rPr>
        <b/>
        <sz val="10"/>
        <color theme="1"/>
        <rFont val="Calibri"/>
        <family val="2"/>
      </rPr>
      <t>Flexibilitätsmärkten</t>
    </r>
    <r>
      <rPr>
        <sz val="10"/>
        <color theme="1"/>
        <rFont val="Calibri"/>
        <family val="2"/>
      </rPr>
      <t xml:space="preserve"> (Day-ahead, Intraday, Regelenergie, …) teil?</t>
    </r>
  </si>
  <si>
    <t>t/a</t>
  </si>
  <si>
    <t xml:space="preserve">https://de.wikipedia.org/wiki/Statistische_Systematik_der_Wirtschaftszweige_in_der_Europ%C3%A4ischen_Gemeinschaft#Tabelle:_NACE_Rev._2:_Abschnitte_und_NACE_Rev._1.1 </t>
  </si>
  <si>
    <t>Links:</t>
  </si>
  <si>
    <t>https://eur-lex.europa.eu/legal-content/EN/TXT/HTML/?uri=CELEX:32006R1893</t>
  </si>
  <si>
    <t>Zusätzliche Kommentare (optional)</t>
  </si>
  <si>
    <t>ENERGIETECHNIK</t>
  </si>
  <si>
    <t>UNTERNEHMUNG</t>
  </si>
  <si>
    <r>
      <rPr>
        <sz val="10"/>
        <color theme="1"/>
        <rFont val="Calibri"/>
        <family val="2"/>
      </rPr>
      <t>Dieses Kapitel widmet sich</t>
    </r>
    <r>
      <rPr>
        <b/>
        <sz val="10"/>
        <color theme="1"/>
        <rFont val="Calibri"/>
        <family val="2"/>
      </rPr>
      <t xml:space="preserve"> Fragen zur Energietechnik</t>
    </r>
    <r>
      <rPr>
        <sz val="10"/>
        <color theme="1"/>
        <rFont val="Calibri"/>
        <family val="2"/>
      </rPr>
      <t xml:space="preserve"> in ihrem Unternehmen. Ziel ist es hier den aktuellen Status
  •  des Energieverbrauchs
  •  der Energieaufbringung
  •  der aktuellen Datenlage
zu erheben um Potentiale im Bereich Energieinfrastruktur identifizieren zu können. </t>
    </r>
  </si>
  <si>
    <t>Aktuelle Datenlage</t>
  </si>
  <si>
    <r>
      <t xml:space="preserve">Sind aktuelle </t>
    </r>
    <r>
      <rPr>
        <b/>
        <sz val="10"/>
        <color theme="1"/>
        <rFont val="Calibri"/>
        <family val="2"/>
      </rPr>
      <t>RI-Schemata</t>
    </r>
    <r>
      <rPr>
        <sz val="10"/>
        <color theme="1"/>
        <rFont val="Calibri"/>
        <family val="2"/>
      </rPr>
      <t xml:space="preserve"> vorhanden?</t>
    </r>
  </si>
  <si>
    <r>
      <t xml:space="preserve">Ist der Betrieb nach </t>
    </r>
    <r>
      <rPr>
        <b/>
        <sz val="10"/>
        <color theme="1"/>
        <rFont val="Calibri"/>
        <family val="2"/>
      </rPr>
      <t>ISO 50001</t>
    </r>
    <r>
      <rPr>
        <sz val="10"/>
        <color theme="1"/>
        <rFont val="Calibri"/>
        <family val="2"/>
      </rPr>
      <t xml:space="preserve"> zertifiziert?</t>
    </r>
  </si>
  <si>
    <r>
      <t xml:space="preserve">Wurde kürzlich ein </t>
    </r>
    <r>
      <rPr>
        <b/>
        <sz val="10"/>
        <color theme="1"/>
        <rFont val="Calibri"/>
        <family val="2"/>
      </rPr>
      <t>Energie-Audit</t>
    </r>
    <r>
      <rPr>
        <sz val="10"/>
        <color theme="1"/>
        <rFont val="Calibri"/>
        <family val="2"/>
      </rPr>
      <t xml:space="preserve"> durchgeführt?</t>
    </r>
  </si>
  <si>
    <r>
      <t xml:space="preserve">Sind aktuelle </t>
    </r>
    <r>
      <rPr>
        <b/>
        <sz val="10"/>
        <color theme="1"/>
        <rFont val="Calibri"/>
        <family val="2"/>
      </rPr>
      <t>Wärmeflussdiagramme</t>
    </r>
    <r>
      <rPr>
        <sz val="10"/>
        <color theme="1"/>
        <rFont val="Calibri"/>
        <family val="2"/>
      </rPr>
      <t xml:space="preserve"> vorhanden?</t>
    </r>
  </si>
  <si>
    <r>
      <t xml:space="preserve">Sind aktuelle </t>
    </r>
    <r>
      <rPr>
        <b/>
        <sz val="10"/>
        <color theme="1"/>
        <rFont val="Calibri"/>
        <family val="2"/>
      </rPr>
      <t>Stromflussdiagramme</t>
    </r>
    <r>
      <rPr>
        <sz val="10"/>
        <color theme="1"/>
        <rFont val="Calibri"/>
        <family val="2"/>
      </rPr>
      <t xml:space="preserve"> vorhanden?</t>
    </r>
  </si>
  <si>
    <t>Weitergabe möglich</t>
  </si>
  <si>
    <t xml:space="preserve"> Wenn ja:</t>
  </si>
  <si>
    <t>Energieverbrauch</t>
  </si>
  <si>
    <r>
      <t xml:space="preserve">In der nachfolgenden </t>
    </r>
    <r>
      <rPr>
        <b/>
        <sz val="11"/>
        <color theme="1"/>
        <rFont val="Aptos Narrow"/>
        <family val="2"/>
        <scheme val="minor"/>
      </rPr>
      <t>Tabelle</t>
    </r>
    <r>
      <rPr>
        <sz val="11"/>
        <color theme="1"/>
        <rFont val="Aptos Narrow"/>
        <family val="2"/>
        <scheme val="minor"/>
      </rPr>
      <t xml:space="preserve"> soll der ungefähre </t>
    </r>
    <r>
      <rPr>
        <b/>
        <u/>
        <sz val="11"/>
        <color theme="1"/>
        <rFont val="Aptos Narrow"/>
        <family val="2"/>
        <scheme val="minor"/>
      </rPr>
      <t>jährliche Energieverbrauch</t>
    </r>
    <r>
      <rPr>
        <sz val="11"/>
        <color theme="1"/>
        <rFont val="Aptos Narrow"/>
        <family val="2"/>
        <scheme val="minor"/>
      </rPr>
      <t xml:space="preserve"> ihres Betriebs, aufgeteilt nach Energieform, sowie der </t>
    </r>
    <r>
      <rPr>
        <b/>
        <u/>
        <sz val="11"/>
        <color theme="1"/>
        <rFont val="Aptos Narrow"/>
        <family val="2"/>
        <scheme val="minor"/>
      </rPr>
      <t>Gesamtverbrauch und Spitzenleistung</t>
    </r>
    <r>
      <rPr>
        <sz val="11"/>
        <color theme="1"/>
        <rFont val="Aptos Narrow"/>
        <family val="2"/>
        <scheme val="minor"/>
      </rPr>
      <t xml:space="preserve"> eingetragen werden. 
Im </t>
    </r>
    <r>
      <rPr>
        <b/>
        <sz val="11"/>
        <color theme="1"/>
        <rFont val="Aptos Narrow"/>
        <family val="2"/>
        <scheme val="minor"/>
      </rPr>
      <t>Ringdiagramm</t>
    </r>
    <r>
      <rPr>
        <sz val="11"/>
        <color theme="1"/>
        <rFont val="Aptos Narrow"/>
        <family val="2"/>
        <scheme val="minor"/>
      </rPr>
      <t xml:space="preserve"> (rechts) soll der Energiemix noch mithilfe der entsprechenden Nummern aus der Tabelle und den anteiligen Verbräuchen skizziert werden.</t>
    </r>
  </si>
  <si>
    <t>Energieform bzw. -stoff</t>
  </si>
  <si>
    <t>Ungefährer Jahresverbrauch</t>
  </si>
  <si>
    <t>MWh/a</t>
  </si>
  <si>
    <t>Strom</t>
  </si>
  <si>
    <t>Gas</t>
  </si>
  <si>
    <t>Mineralöl</t>
  </si>
  <si>
    <t>Kohle</t>
  </si>
  <si>
    <t>Fernwärme</t>
  </si>
  <si>
    <t>Audit-Ergebnis einsehbar</t>
  </si>
  <si>
    <t>Prozess A</t>
  </si>
  <si>
    <t>Wenn nein: 
                         Wäre denkbar</t>
  </si>
  <si>
    <t>PROZESSTECHNIK</t>
  </si>
  <si>
    <r>
      <t>Dieses Kapitel widmet sich</t>
    </r>
    <r>
      <rPr>
        <b/>
        <sz val="10"/>
        <color theme="1"/>
        <rFont val="Calibri"/>
        <family val="2"/>
      </rPr>
      <t xml:space="preserve"> Fragen zur Prozesstechnik sowie Produktionsabläufen</t>
    </r>
    <r>
      <rPr>
        <sz val="10"/>
        <color theme="1"/>
        <rFont val="Calibri"/>
        <family val="2"/>
      </rPr>
      <t xml:space="preserve"> in ihrem Unternehmen. Ziel ist es hier folgenden Informationen zu erlangen:
  •  Rahmenbedingungen der Prozessführung
  •  Durchsätze und Speichermöglichkeiten
  •  Energieintensive Prozessschritte
Diese Informationen sind notwendig um Potentiale im Bereich der Prozessführung identifizieren zu können. </t>
    </r>
  </si>
  <si>
    <t>Allgemeines</t>
  </si>
  <si>
    <t>DIGITALISIERUNG</t>
  </si>
  <si>
    <r>
      <t>Dieses Kapitel widmet sich</t>
    </r>
    <r>
      <rPr>
        <b/>
        <sz val="10"/>
        <color theme="1"/>
        <rFont val="Calibri"/>
        <family val="2"/>
      </rPr>
      <t xml:space="preserve"> Fragen des aktuellen Standes der Digitalisierung</t>
    </r>
    <r>
      <rPr>
        <sz val="10"/>
        <color theme="1"/>
        <rFont val="Calibri"/>
        <family val="2"/>
      </rPr>
      <t xml:space="preserve"> in ihrem Unternehmen. Ziel ist es hier folgenden Informationen zu erlangen:
  •  Möglichkeit zur Detailanalyse
  •  Zugang zu Betriebsdaten
  •  Offenheit gegenüber Erweiterungen
Mithilfe dieser Informationen können in weiterer Folge Maßnahmen zur Hebung von Potentialen vereinfacht und umsetzbar gemacht werden. </t>
    </r>
  </si>
  <si>
    <t>Allgemeines zur Digitalisierung</t>
  </si>
  <si>
    <t>FLEXIBILISIERUNG</t>
  </si>
  <si>
    <r>
      <t>Dieses Kapitel widmet sich weiteren</t>
    </r>
    <r>
      <rPr>
        <b/>
        <sz val="10"/>
        <color theme="1"/>
        <rFont val="Calibri"/>
        <family val="2"/>
      </rPr>
      <t xml:space="preserve"> Fragen der Flexibilisierung</t>
    </r>
    <r>
      <rPr>
        <sz val="10"/>
        <color theme="1"/>
        <rFont val="Calibri"/>
        <family val="2"/>
      </rPr>
      <t>. Ziel ist es hier nochmals über weitere Möglichkeiten zum Heben von Flexibilitätspotentialen aufzuzeigen und abzugrenzen ob diese realistisch sind. Weiters können in diesem Bereich auch allgemeine Punkte angesprochen werden, die der Fragebogen außer Acht gelassen hat, aber ihrer Meinung nach notwendig sind bei der Betrachtung von Flexibilität.</t>
    </r>
  </si>
  <si>
    <t>Allgemeines zur Flexibilitätsschaffung</t>
  </si>
  <si>
    <t>Prozesstitel</t>
  </si>
  <si>
    <t>Minuten</t>
  </si>
  <si>
    <t>P5</t>
  </si>
  <si>
    <r>
      <t>Branche/Industrie-Zweig nach NACE-Zertifizierung</t>
    </r>
    <r>
      <rPr>
        <vertAlign val="superscript"/>
        <sz val="5.5"/>
        <color rgb="FF999999"/>
        <rFont val="Calibri"/>
        <family val="2"/>
      </rPr>
      <t>1</t>
    </r>
  </si>
  <si>
    <t>P6</t>
  </si>
  <si>
    <t>P7</t>
  </si>
  <si>
    <t>P8</t>
  </si>
  <si>
    <t>P9</t>
  </si>
  <si>
    <t>P10</t>
  </si>
  <si>
    <t>P11</t>
  </si>
  <si>
    <t>P12</t>
  </si>
  <si>
    <t>P13</t>
  </si>
  <si>
    <t>P15</t>
  </si>
  <si>
    <t>Zielsetzung der Flexibilitätsanalyse</t>
  </si>
  <si>
    <t>MW</t>
  </si>
  <si>
    <t>Gesamtverbrauch</t>
  </si>
  <si>
    <t>Spitzenleistung</t>
  </si>
  <si>
    <t>Alternative Brennstoffe 
(fossiler Anteil)</t>
  </si>
  <si>
    <t>Alternative Brennstoffe 
(biogener Anteil)</t>
  </si>
  <si>
    <t>Zusätzliche Anmerkungen</t>
  </si>
  <si>
    <t>Energieaufbringung</t>
  </si>
  <si>
    <t>Netzbezug</t>
  </si>
  <si>
    <t>Netzebene:</t>
  </si>
  <si>
    <t>Abrechnung:</t>
  </si>
  <si>
    <t>Spitzenlast</t>
  </si>
  <si>
    <t>Regelmarkt</t>
  </si>
  <si>
    <t>Anders</t>
  </si>
  <si>
    <t>Quelle</t>
  </si>
  <si>
    <r>
      <t>Jahresbezug</t>
    </r>
    <r>
      <rPr>
        <vertAlign val="superscript"/>
        <sz val="9"/>
        <color theme="1"/>
        <rFont val="Calibri"/>
        <family val="2"/>
      </rPr>
      <t>1</t>
    </r>
  </si>
  <si>
    <t>Zusätzliche Fragestellungen</t>
  </si>
  <si>
    <t>Kommentare</t>
  </si>
  <si>
    <t>Monat</t>
  </si>
  <si>
    <t>Quartal</t>
  </si>
  <si>
    <t>Jahr</t>
  </si>
  <si>
    <t>Photovoltaik</t>
  </si>
  <si>
    <t>KWK</t>
  </si>
  <si>
    <t>Netzbezug Gas</t>
  </si>
  <si>
    <t>Netzbezug Fernwärme</t>
  </si>
  <si>
    <t>Solarthermie</t>
  </si>
  <si>
    <t xml:space="preserve">                                                       Wärme                                                                                                             Strom</t>
  </si>
  <si>
    <t>Spitzenleistung:</t>
  </si>
  <si>
    <t>Flächen:</t>
  </si>
  <si>
    <t>Überschuss:</t>
  </si>
  <si>
    <r>
      <t>m</t>
    </r>
    <r>
      <rPr>
        <vertAlign val="superscript"/>
        <sz val="9"/>
        <color theme="1"/>
        <rFont val="Calibri"/>
        <family val="2"/>
      </rPr>
      <t>2</t>
    </r>
  </si>
  <si>
    <t>Verkauf</t>
  </si>
  <si>
    <t>Speicherung</t>
  </si>
  <si>
    <t>Abwärme:</t>
  </si>
  <si>
    <t>Anschlussleistung:</t>
  </si>
  <si>
    <t>Bezug:</t>
  </si>
  <si>
    <t>Gasanschluss</t>
  </si>
  <si>
    <t>Lieferung</t>
  </si>
  <si>
    <t>Brennstoff:</t>
  </si>
  <si>
    <t>Elektrischer Wirkungsgrad:</t>
  </si>
  <si>
    <t>Thermischer Wirkungsgrad:</t>
  </si>
  <si>
    <t>Produkte</t>
  </si>
  <si>
    <t>Energiespeicher</t>
  </si>
  <si>
    <t>Vorhanden</t>
  </si>
  <si>
    <t>Durchschnittlicher Füllstand</t>
  </si>
  <si>
    <t>Batteriespeicher</t>
  </si>
  <si>
    <t>Wärmespeicher</t>
  </si>
  <si>
    <t>Andere Energiespeicher</t>
  </si>
  <si>
    <t>Anzahl</t>
  </si>
  <si>
    <t>%</t>
  </si>
  <si>
    <r>
      <t xml:space="preserve">Gibt es in ihrer </t>
    </r>
    <r>
      <rPr>
        <b/>
        <sz val="10"/>
        <color theme="1"/>
        <rFont val="Calibri"/>
        <family val="2"/>
      </rPr>
      <t>Produktion geplante/fixe Stillstände</t>
    </r>
    <r>
      <rPr>
        <sz val="10"/>
        <color theme="1"/>
        <rFont val="Calibri"/>
        <family val="2"/>
      </rPr>
      <t xml:space="preserve"> (z.B. Betriebsurlaub)?</t>
    </r>
  </si>
  <si>
    <r>
      <t xml:space="preserve">Gibt es in ihrer Produktion einen </t>
    </r>
    <r>
      <rPr>
        <b/>
        <sz val="10"/>
        <color theme="1"/>
        <rFont val="Calibri"/>
        <family val="2"/>
      </rPr>
      <t>Schichtbetrieb</t>
    </r>
    <r>
      <rPr>
        <sz val="10"/>
        <color theme="1"/>
        <rFont val="Calibri"/>
        <family val="2"/>
      </rPr>
      <t>?</t>
    </r>
  </si>
  <si>
    <r>
      <t xml:space="preserve">Gibt es in ihrer Produktion </t>
    </r>
    <r>
      <rPr>
        <b/>
        <sz val="10"/>
        <color theme="1"/>
        <rFont val="Calibri"/>
        <family val="2"/>
      </rPr>
      <t>Zwischenlager</t>
    </r>
    <r>
      <rPr>
        <sz val="10"/>
        <color theme="1"/>
        <rFont val="Calibri"/>
        <family val="2"/>
      </rPr>
      <t>?</t>
    </r>
  </si>
  <si>
    <r>
      <t xml:space="preserve">Gibt es aktuelle </t>
    </r>
    <r>
      <rPr>
        <b/>
        <sz val="10"/>
        <color theme="1"/>
        <rFont val="Calibri"/>
        <family val="2"/>
      </rPr>
      <t>Aufzeichnungen der Lagerfüllstände</t>
    </r>
    <r>
      <rPr>
        <sz val="10"/>
        <color theme="1"/>
        <rFont val="Calibri"/>
        <family val="2"/>
      </rPr>
      <t>?</t>
    </r>
  </si>
  <si>
    <r>
      <t xml:space="preserve">Wie viel </t>
    </r>
    <r>
      <rPr>
        <b/>
        <sz val="10"/>
        <color theme="1"/>
        <rFont val="Calibri"/>
        <family val="2"/>
      </rPr>
      <t>Rohmaterial</t>
    </r>
    <r>
      <rPr>
        <sz val="10"/>
        <color theme="1"/>
        <rFont val="Calibri"/>
        <family val="2"/>
      </rPr>
      <t xml:space="preserve"> wird im Jahr in ihrem Betrieb </t>
    </r>
    <r>
      <rPr>
        <b/>
        <sz val="10"/>
        <color theme="1"/>
        <rFont val="Calibri"/>
        <family val="2"/>
      </rPr>
      <t>verarbeitet</t>
    </r>
    <r>
      <rPr>
        <sz val="10"/>
        <color theme="1"/>
        <rFont val="Calibri"/>
        <family val="2"/>
      </rPr>
      <t>?</t>
    </r>
  </si>
  <si>
    <r>
      <t xml:space="preserve">Wie hoch ist die </t>
    </r>
    <r>
      <rPr>
        <b/>
        <sz val="10"/>
        <color theme="1"/>
        <rFont val="Calibri"/>
        <family val="2"/>
      </rPr>
      <t>Gesamtbetriebszeit der Produktionsanlagen</t>
    </r>
    <r>
      <rPr>
        <sz val="10"/>
        <color theme="1"/>
        <rFont val="Calibri"/>
        <family val="2"/>
      </rPr>
      <t xml:space="preserve"> im Jahr?</t>
    </r>
  </si>
  <si>
    <t>h/a</t>
  </si>
  <si>
    <t>Beschreibung:</t>
  </si>
  <si>
    <t>Äußere Einflussfaktoren</t>
  </si>
  <si>
    <t>Kommentare (Prozesstechnik)</t>
  </si>
  <si>
    <t>Energieaufbringung (Ergänzung)</t>
  </si>
  <si>
    <t>Energiespeicher (Ergänzung)</t>
  </si>
  <si>
    <t>Kommentare (Energietechnik)</t>
  </si>
  <si>
    <r>
      <rPr>
        <vertAlign val="superscript"/>
        <sz val="9"/>
        <color theme="1"/>
        <rFont val="Calibri"/>
        <family val="2"/>
      </rPr>
      <t xml:space="preserve"> 1</t>
    </r>
    <r>
      <rPr>
        <sz val="9"/>
        <color theme="1"/>
        <rFont val="Calibri"/>
        <family val="2"/>
      </rPr>
      <t xml:space="preserve"> MWel und MWth für die elektrische und die thermische Leistung die aus der jeweiligen Quelle bezogen wurde.</t>
    </r>
  </si>
  <si>
    <r>
      <t xml:space="preserve">Freier Platz für </t>
    </r>
    <r>
      <rPr>
        <b/>
        <sz val="10"/>
        <color theme="1"/>
        <rFont val="Calibri"/>
        <family val="2"/>
      </rPr>
      <t>zusätzliche Informationen oder Kommentare</t>
    </r>
    <r>
      <rPr>
        <sz val="10"/>
        <color theme="1"/>
        <rFont val="Calibri"/>
        <family val="2"/>
      </rPr>
      <t xml:space="preserve"> zum </t>
    </r>
    <r>
      <rPr>
        <b/>
        <sz val="10"/>
        <color theme="1"/>
        <rFont val="Calibri"/>
        <family val="2"/>
      </rPr>
      <t>Thema Prozesstechnik</t>
    </r>
    <r>
      <rPr>
        <sz val="10"/>
        <color theme="1"/>
        <rFont val="Calibri"/>
        <family val="2"/>
      </rPr>
      <t>.</t>
    </r>
  </si>
  <si>
    <r>
      <t xml:space="preserve">Freier Platz für </t>
    </r>
    <r>
      <rPr>
        <b/>
        <sz val="10"/>
        <color theme="1"/>
        <rFont val="Calibri"/>
        <family val="2"/>
      </rPr>
      <t>zusätzliche Informationen oder Kommentare</t>
    </r>
    <r>
      <rPr>
        <sz val="10"/>
        <color theme="1"/>
        <rFont val="Calibri"/>
        <family val="2"/>
      </rPr>
      <t xml:space="preserve"> zum </t>
    </r>
    <r>
      <rPr>
        <b/>
        <sz val="10"/>
        <color theme="1"/>
        <rFont val="Calibri"/>
        <family val="2"/>
      </rPr>
      <t>Thema Energietechnik</t>
    </r>
    <r>
      <rPr>
        <sz val="10"/>
        <color theme="1"/>
        <rFont val="Calibri"/>
        <family val="2"/>
      </rPr>
      <t>.</t>
    </r>
  </si>
  <si>
    <t>Teilweise</t>
  </si>
  <si>
    <t xml:space="preserve"> Wenn ja/teilweise:</t>
  </si>
  <si>
    <t>Sind diese Daten digital verfügbar?</t>
  </si>
  <si>
    <t>Werden Daten der Produktion in verwertbarer Qualität aufgezeichnet?</t>
  </si>
  <si>
    <r>
      <t xml:space="preserve">Werden </t>
    </r>
    <r>
      <rPr>
        <b/>
        <sz val="10"/>
        <color theme="1"/>
        <rFont val="Calibri"/>
        <family val="2"/>
      </rPr>
      <t>Daten des Energieverbrauchs</t>
    </r>
    <r>
      <rPr>
        <sz val="10"/>
        <color theme="1"/>
        <rFont val="Calibri"/>
        <family val="2"/>
      </rPr>
      <t xml:space="preserve"> in verwertbarer Qualität aufgezeichnet?</t>
    </r>
  </si>
  <si>
    <r>
      <t xml:space="preserve">Ist ein </t>
    </r>
    <r>
      <rPr>
        <b/>
        <sz val="10"/>
        <color theme="1"/>
        <rFont val="Calibri"/>
        <family val="2"/>
      </rPr>
      <t>Live-Zugriff</t>
    </r>
    <r>
      <rPr>
        <sz val="10"/>
        <color theme="1"/>
        <rFont val="Calibri"/>
        <family val="2"/>
      </rPr>
      <t xml:space="preserve"> auf die oben genannten Daten möglich?</t>
    </r>
  </si>
  <si>
    <r>
      <t xml:space="preserve">Werden </t>
    </r>
    <r>
      <rPr>
        <b/>
        <sz val="10"/>
        <color theme="1"/>
        <rFont val="Calibri"/>
        <family val="2"/>
      </rPr>
      <t>Daten der Produktion</t>
    </r>
    <r>
      <rPr>
        <sz val="10"/>
        <color theme="1"/>
        <rFont val="Calibri"/>
        <family val="2"/>
      </rPr>
      <t xml:space="preserve"> in verwertbarer Qualität aufgezeichnet?</t>
    </r>
  </si>
  <si>
    <r>
      <t xml:space="preserve">Werden </t>
    </r>
    <r>
      <rPr>
        <b/>
        <sz val="10"/>
        <color theme="1"/>
        <rFont val="Calibri"/>
        <family val="2"/>
      </rPr>
      <t>Daten der Energieaufbringung</t>
    </r>
    <r>
      <rPr>
        <sz val="10"/>
        <color theme="1"/>
        <rFont val="Calibri"/>
        <family val="2"/>
      </rPr>
      <t xml:space="preserve"> in verwertbarer Qualität aufgezeichnet?</t>
    </r>
  </si>
  <si>
    <t>Außenzugriff möglich</t>
  </si>
  <si>
    <t>Wenn nein:
             Wäre denkbar</t>
  </si>
  <si>
    <r>
      <t xml:space="preserve">Ist ein </t>
    </r>
    <r>
      <rPr>
        <b/>
        <sz val="10"/>
        <color theme="1"/>
        <rFont val="Calibri"/>
        <family val="2"/>
      </rPr>
      <t>übergeordnetes Energie-Management System</t>
    </r>
    <r>
      <rPr>
        <sz val="10"/>
        <color theme="1"/>
        <rFont val="Calibri"/>
        <family val="2"/>
      </rPr>
      <t xml:space="preserve"> integriert/aktiv?</t>
    </r>
  </si>
  <si>
    <t>Verbrauch:</t>
  </si>
  <si>
    <t>Aufbringung:</t>
  </si>
  <si>
    <t>Produktion:</t>
  </si>
  <si>
    <t>Eventuell</t>
  </si>
  <si>
    <r>
      <t xml:space="preserve">Ist die Anschaffung von </t>
    </r>
    <r>
      <rPr>
        <b/>
        <sz val="10"/>
        <color theme="1"/>
        <rFont val="Calibri"/>
        <family val="2"/>
      </rPr>
      <t>alternativen Energietechnologien</t>
    </r>
    <r>
      <rPr>
        <sz val="10"/>
        <color theme="1"/>
        <rFont val="Calibri"/>
        <family val="2"/>
      </rPr>
      <t xml:space="preserve"> denkbar?</t>
    </r>
  </si>
  <si>
    <r>
      <t xml:space="preserve">Ist die </t>
    </r>
    <r>
      <rPr>
        <b/>
        <sz val="10"/>
        <color theme="1"/>
        <rFont val="Calibri"/>
        <family val="2"/>
      </rPr>
      <t>Anschaffung von Energiespeichertechnologien</t>
    </r>
    <r>
      <rPr>
        <sz val="10"/>
        <color theme="1"/>
        <rFont val="Calibri"/>
        <family val="2"/>
      </rPr>
      <t xml:space="preserve"> denkbar?</t>
    </r>
  </si>
  <si>
    <r>
      <t xml:space="preserve">Sind zusätzliche </t>
    </r>
    <r>
      <rPr>
        <b/>
        <sz val="10"/>
        <color theme="1"/>
        <rFont val="Calibri"/>
        <family val="2"/>
      </rPr>
      <t>Materiallager und Zwischenspeicher</t>
    </r>
    <r>
      <rPr>
        <sz val="10"/>
        <color theme="1"/>
        <rFont val="Calibri"/>
        <family val="2"/>
      </rPr>
      <t xml:space="preserve"> denkbar?</t>
    </r>
  </si>
  <si>
    <t>Begründung:</t>
  </si>
  <si>
    <t xml:space="preserve"> Wenn nein/eventuell</t>
  </si>
  <si>
    <r>
      <t xml:space="preserve">Freier Platz für </t>
    </r>
    <r>
      <rPr>
        <b/>
        <sz val="10"/>
        <color theme="1"/>
        <rFont val="Calibri"/>
        <family val="2"/>
      </rPr>
      <t>zusätzliche Informationen oder Kommentare</t>
    </r>
    <r>
      <rPr>
        <sz val="10"/>
        <color theme="1"/>
        <rFont val="Calibri"/>
        <family val="2"/>
      </rPr>
      <t xml:space="preserve"> zum </t>
    </r>
    <r>
      <rPr>
        <b/>
        <sz val="10"/>
        <color theme="1"/>
        <rFont val="Calibri"/>
        <family val="2"/>
      </rPr>
      <t>Thema Flexibilisierung</t>
    </r>
    <r>
      <rPr>
        <sz val="10"/>
        <color theme="1"/>
        <rFont val="Calibri"/>
        <family val="2"/>
      </rPr>
      <t>.</t>
    </r>
  </si>
  <si>
    <r>
      <t xml:space="preserve">Zur zielgerichteten Identifikation sollen hier in Summe 
</t>
    </r>
    <r>
      <rPr>
        <b/>
        <u/>
        <sz val="10"/>
        <color theme="1"/>
        <rFont val="Calibri"/>
        <family val="2"/>
      </rPr>
      <t>fünf Punkte</t>
    </r>
    <r>
      <rPr>
        <sz val="10"/>
        <color theme="1"/>
        <rFont val="Calibri"/>
        <family val="2"/>
      </rPr>
      <t xml:space="preserve"> auf diese drei Kategorien verteilt werden.</t>
    </r>
  </si>
  <si>
    <r>
      <rPr>
        <b/>
        <sz val="10"/>
        <rFont val="Calibri"/>
        <family val="2"/>
      </rPr>
      <t>Wirtschaftlichkeit</t>
    </r>
    <r>
      <rPr>
        <sz val="10"/>
        <color theme="1"/>
        <rFont val="Calibri"/>
        <family val="2"/>
      </rPr>
      <t xml:space="preserve"> 
	→ Senkung der (laufenden) Kosten
</t>
    </r>
    <r>
      <rPr>
        <b/>
        <sz val="10"/>
        <color theme="1"/>
        <rFont val="Calibri"/>
        <family val="2"/>
      </rPr>
      <t>Umweltverträglichkeit</t>
    </r>
    <r>
      <rPr>
        <sz val="10"/>
        <color theme="1"/>
        <rFont val="Calibri"/>
        <family val="2"/>
      </rPr>
      <t xml:space="preserve"> 
	→ Senkung von Umwelteinflüssen (z.B. CO2-Emission)
</t>
    </r>
    <r>
      <rPr>
        <b/>
        <sz val="10"/>
        <color theme="1"/>
        <rFont val="Calibri"/>
        <family val="2"/>
      </rPr>
      <t>Versorgungssicherheit</t>
    </r>
    <r>
      <rPr>
        <sz val="10"/>
        <color theme="1"/>
        <rFont val="Calibri"/>
        <family val="2"/>
      </rPr>
      <t xml:space="preserve"> 
	→ Erhöhung der Resilienz des Betriebs</t>
    </r>
  </si>
  <si>
    <t>Flexibilitätspotentiale können im Grunde hinsichtlich folgender drei Kategorien eingesetzt werden:</t>
  </si>
  <si>
    <t>Zielsetzungs_Summe</t>
  </si>
  <si>
    <t>Helper</t>
  </si>
  <si>
    <r>
      <rPr>
        <sz val="11"/>
        <color theme="1"/>
        <rFont val="Calibri"/>
        <family val="2"/>
      </rPr>
      <t xml:space="preserve">Wie sieht die restliche </t>
    </r>
    <r>
      <rPr>
        <b/>
        <sz val="11"/>
        <color theme="1"/>
        <rFont val="Calibri"/>
        <family val="2"/>
      </rPr>
      <t>digitale Infrastruktur</t>
    </r>
    <r>
      <rPr>
        <sz val="11"/>
        <color theme="1"/>
        <rFont val="Calibri"/>
        <family val="2"/>
      </rPr>
      <t xml:space="preserve"> aus?</t>
    </r>
    <r>
      <rPr>
        <sz val="10"/>
        <color theme="1"/>
        <rFont val="Calibri"/>
        <family val="2"/>
      </rPr>
      <t xml:space="preserve">
</t>
    </r>
    <r>
      <rPr>
        <sz val="6.5"/>
        <color theme="1"/>
        <rFont val="Calibri"/>
        <family val="2"/>
      </rPr>
      <t>Kurze Beschreibung der Digitalisierungsmaßnahmen die in ihrem Betrieb umgesetzt werden.</t>
    </r>
  </si>
  <si>
    <t>VORWORT</t>
  </si>
  <si>
    <t>bernd.riederer@best-research.eu</t>
  </si>
  <si>
    <t>kerstin.pfleger-schopf@unileoben.ac.at</t>
  </si>
  <si>
    <t>Entwicklung der Produktionsmengen</t>
  </si>
  <si>
    <t>P14</t>
  </si>
  <si>
    <t>Kerstin Pfleger-Schopf</t>
  </si>
  <si>
    <t xml:space="preserve">Dipl.-Ing., Mag. rer. soc. oec. Dr.mont. </t>
  </si>
  <si>
    <t>Arbeitsgruppenleiterin</t>
  </si>
  <si>
    <t>Bernd Riederer</t>
  </si>
  <si>
    <t>Dr. rer. nat., BSc. MSc.</t>
  </si>
  <si>
    <t xml:space="preserve">Senior Researcher </t>
  </si>
  <si>
    <t>”Area Automation and Control"</t>
  </si>
  <si>
    <t>"AI-Driven Industrial Energy Systems"</t>
  </si>
  <si>
    <t>+43 5 02378 - 9229</t>
  </si>
  <si>
    <t>+43 3842 402 - 5409</t>
  </si>
  <si>
    <t>Weitere involvierte Personen</t>
  </si>
  <si>
    <r>
      <t xml:space="preserve">
Eine Kooperation der </t>
    </r>
    <r>
      <rPr>
        <b/>
        <sz val="12"/>
        <color rgb="FF000000"/>
        <rFont val="Aptos"/>
        <family val="2"/>
      </rPr>
      <t xml:space="preserve">Montanuniversität Leoben </t>
    </r>
    <r>
      <rPr>
        <sz val="12"/>
        <color rgb="FF000000"/>
        <rFont val="Aptos"/>
        <family val="2"/>
      </rPr>
      <t xml:space="preserve">und 
der </t>
    </r>
    <r>
      <rPr>
        <b/>
        <sz val="12"/>
        <color rgb="FF000000"/>
        <rFont val="Aptos"/>
        <family val="2"/>
      </rPr>
      <t>BEST – Bioenergy and Sustainable Technologies GmbH</t>
    </r>
  </si>
  <si>
    <t>Martin Puster</t>
  </si>
  <si>
    <t>Cyrus Emami</t>
  </si>
  <si>
    <t>Thomas Kienberger</t>
  </si>
  <si>
    <t>Julia Schönfelder</t>
  </si>
  <si>
    <t>Valentin Kaisermayer</t>
  </si>
  <si>
    <t>Sebastian Dietze</t>
  </si>
  <si>
    <t>Daniel Muschick</t>
  </si>
  <si>
    <t>Sandra Staudt</t>
  </si>
  <si>
    <t>Markus Gölles</t>
  </si>
  <si>
    <t>Hilfstabelle</t>
  </si>
  <si>
    <t>restliche digitale Infrastruktur</t>
  </si>
  <si>
    <t>Kontaktdaten</t>
  </si>
  <si>
    <t>0 = nicht ausgefüllt, 1 = nein, 2 = ja</t>
  </si>
  <si>
    <t>0 = nicht (vollständig) ausgefüllt, 1 = vollständig ausgefüllt</t>
  </si>
  <si>
    <t>Stromflussdiagramme vorhanden?</t>
  </si>
  <si>
    <t>RI-Schemata vorhanden?</t>
  </si>
  <si>
    <t>Wärmeflussdiagramme vorhanden?</t>
  </si>
  <si>
    <t>Energie-Audit durchgeführt?</t>
  </si>
  <si>
    <t>ISO 50001 Zertifizierung?</t>
  </si>
  <si>
    <t>Gesamt</t>
  </si>
  <si>
    <t>Name, Mail, Telefon, Abteilung</t>
  </si>
  <si>
    <t>0 = nicht (vollständig) ausgefüllt, 1 = vollständig ausgefüllt , 2 = optional und nicht ausgefüllt</t>
  </si>
  <si>
    <t xml:space="preserve">Verkauf </t>
  </si>
  <si>
    <t>0 = nicht angehakt, 1 = angehakt</t>
  </si>
  <si>
    <t>produktionstechnische neuerungen geplant?</t>
  </si>
  <si>
    <t>Anschaffung/Ausbau erneuerbarer Energieträger geplant?</t>
  </si>
  <si>
    <t>Absatzsteigerung oder -senkung geplant?</t>
  </si>
  <si>
    <t>Produktion geplante/fixe Stillstände?</t>
  </si>
  <si>
    <t>Schichtbetrieb?</t>
  </si>
  <si>
    <t>Zwischenlager?</t>
  </si>
  <si>
    <t>Aufzeichnungen der Lagerfüllstände?</t>
  </si>
  <si>
    <t>verarbeitetes Rohmaterial/Jahr</t>
  </si>
  <si>
    <t>Gesamtbetriebszeit der Produktionsanlagen</t>
  </si>
  <si>
    <t>Radio Buttons</t>
  </si>
  <si>
    <t>Energie aus Eigenerzeugung vorhanden</t>
  </si>
  <si>
    <t>Lieferfristen wurden verschoben</t>
  </si>
  <si>
    <t>Materialanlieferungen wurden geändert</t>
  </si>
  <si>
    <t>Kunde mit hoher Priorität ändert Wunschlieferdatum</t>
  </si>
  <si>
    <t>Strom- /Energiepreis ändert sich</t>
  </si>
  <si>
    <t>Daten Energieverbrauch aufgezeichnet?</t>
  </si>
  <si>
    <t>digital verfügbar?</t>
  </si>
  <si>
    <t>Daten Energieaufbringung aufgezeichnet?</t>
  </si>
  <si>
    <t>Daten der Produktion aufgezeichnet?</t>
  </si>
  <si>
    <t>Live-Zugriff auf Daten möglich?</t>
  </si>
  <si>
    <t>übergeordnetes Energie-Management System?</t>
  </si>
  <si>
    <t>0 = nicht ausgefüllt, 1 = nein, 2 = ja, 3 = Teilweise</t>
  </si>
  <si>
    <t>Verbrauch</t>
  </si>
  <si>
    <t>Aufbringung</t>
  </si>
  <si>
    <t>Produktion</t>
  </si>
  <si>
    <t>FALSCH = Weitergabe nicht möglich, WAHR = Weitergabe möglich</t>
  </si>
  <si>
    <t>FALSCH = Außenzugriff nicht möglich, WAHR = Außenzugriff möglich</t>
  </si>
  <si>
    <t>FALSCH = Wäre nicht denkbar, WAHR = Wäre denkbar</t>
  </si>
  <si>
    <t>Anschaffung alternative Energietechnologien denkbar?</t>
  </si>
  <si>
    <t>Anschaffung Energiespeichertechnologien denkbar?</t>
  </si>
  <si>
    <t>Materiallager und Zwischenspeicher denkbar?</t>
  </si>
  <si>
    <t>weitere betriebliche Flexibilisierungsmaßnahmen denkbar?</t>
  </si>
  <si>
    <t>0 = nicht ausgewählt, 1 = nein, 2 = ja, 3 = Eventuell</t>
  </si>
  <si>
    <t>Zusatzinfo</t>
  </si>
  <si>
    <t>"Wenn ja/teilweise" Kontrollkästchen</t>
  </si>
  <si>
    <t>0 = nicht ausgewählt, 1 = nein, 2 = ja</t>
  </si>
  <si>
    <t>0 = nicht ausgewählt, 1 = Monat, 2 = Quartal, 3 = Jahr</t>
  </si>
  <si>
    <t>Kontrollkästchen</t>
  </si>
  <si>
    <t>Zeiteinheit</t>
  </si>
  <si>
    <t>Prozess C</t>
  </si>
  <si>
    <r>
      <t xml:space="preserve">Saisonalität
</t>
    </r>
    <r>
      <rPr>
        <sz val="6.5"/>
        <color theme="1"/>
        <rFont val="Calibri"/>
        <family val="2"/>
      </rPr>
      <t>(saisonale Einschränkungen, Notwendigkeit, etc.)</t>
    </r>
  </si>
  <si>
    <t>0 = falsch ausgefüllt, 1 = richtig ausgefüllt, 2 optional und nicht ausgefüllt</t>
  </si>
  <si>
    <t>0 = falsch ausgefüllt, 1 = nicht ausgefüllt; 2 ausgefüllt</t>
  </si>
  <si>
    <t>0 = nicht (vollständig oder richtig) ausgefüllt, 1 = vollständig und richtig ausgefüllt</t>
  </si>
  <si>
    <t>0 = nicht ausgefüllt oder falsch ausgefüllt, 1 = richtig ausgefüllt</t>
  </si>
  <si>
    <t>Summe = 15</t>
  </si>
  <si>
    <t>0 = nicht oder falsch ausgefüllt, 1 = richtig ausgefüllt</t>
  </si>
  <si>
    <t>Summe=5</t>
  </si>
  <si>
    <t>ERGEBNISSE</t>
  </si>
  <si>
    <t>Prozess D</t>
  </si>
  <si>
    <t>Kommentare (Energiestechnik)</t>
  </si>
  <si>
    <t>Kommentare (Flexibilisierung)</t>
  </si>
  <si>
    <t>Benötigte Leistung</t>
  </si>
  <si>
    <t>Produktionsmenge</t>
  </si>
  <si>
    <t>Weitere Leistungen bei Bedarf</t>
  </si>
  <si>
    <t>Prozess B</t>
  </si>
  <si>
    <t>Name [Einheit]</t>
  </si>
  <si>
    <t>Name2 [Einheit]</t>
  </si>
  <si>
    <t>Name1 [Einheit]</t>
  </si>
  <si>
    <t>Batchsize [Stk.]</t>
  </si>
  <si>
    <t>Prozess E</t>
  </si>
  <si>
    <t>Prozess F</t>
  </si>
  <si>
    <t>Prozess G</t>
  </si>
  <si>
    <r>
      <t xml:space="preserve">Dieses Blatt ermöglicht es </t>
    </r>
    <r>
      <rPr>
        <b/>
        <sz val="11"/>
        <color theme="1"/>
        <rFont val="Aptos Narrow"/>
        <family val="2"/>
        <scheme val="minor"/>
      </rPr>
      <t>Lastgänge energieintensiver Prozesse</t>
    </r>
    <r>
      <rPr>
        <sz val="11"/>
        <color theme="1"/>
        <rFont val="Aptos Narrow"/>
        <family val="2"/>
        <scheme val="minor"/>
      </rPr>
      <t xml:space="preserve"> grafisch darzustellen um die Prozesse besser verstehen zu können.
Diese Diagramme können in weiteren Schritten automatisiert weiterverarbeitet werden für weitere Analysen mit Tools und Methoden aus dem Projekt FLEXcheck verwendet werden.
Ausfüllen ist grundsätzlich optional, aber empfohlen für die Prozesse welche grundsätzlich große Einflüsse auf die Produktion haben.</t>
    </r>
  </si>
  <si>
    <r>
      <rPr>
        <b/>
        <sz val="11"/>
        <color theme="1"/>
        <rFont val="Aptos Narrow"/>
        <family val="2"/>
        <scheme val="minor"/>
      </rPr>
      <t>Ausfüllhilfe</t>
    </r>
    <r>
      <rPr>
        <sz val="11"/>
        <color theme="1"/>
        <rFont val="Aptos Narrow"/>
        <family val="2"/>
        <scheme val="minor"/>
      </rPr>
      <t>:</t>
    </r>
    <r>
      <rPr>
        <sz val="11"/>
        <color theme="1"/>
        <rFont val="Wingdings"/>
        <charset val="2"/>
      </rPr>
      <t xml:space="preserve">
 </t>
    </r>
    <r>
      <rPr>
        <sz val="11"/>
        <color theme="1"/>
        <rFont val="Aptos Narrow"/>
        <family val="2"/>
        <scheme val="minor"/>
      </rPr>
      <t xml:space="preserve"> Die Diagramme stellen den Bedarf an elektrischer/thermischer Leistung mit der Produktion gegenüber
</t>
    </r>
    <r>
      <rPr>
        <sz val="11"/>
        <color theme="1"/>
        <rFont val="Wingdings"/>
        <charset val="2"/>
      </rPr>
      <t xml:space="preserve"> </t>
    </r>
    <r>
      <rPr>
        <sz val="11"/>
        <color theme="1"/>
        <rFont val="Aptos Narrow"/>
        <family val="2"/>
        <scheme val="minor"/>
      </rPr>
      <t xml:space="preserve"> Die Spaltennamen können frei gewählt werden und werden automatisch im Diagramm übernommen</t>
    </r>
    <r>
      <rPr>
        <sz val="11"/>
        <color theme="1"/>
        <rFont val="Wingdings"/>
        <charset val="2"/>
      </rPr>
      <t xml:space="preserve">
 </t>
    </r>
    <r>
      <rPr>
        <sz val="11"/>
        <color theme="1"/>
        <rFont val="Aptos Narrow"/>
        <family val="2"/>
        <scheme val="minor"/>
      </rPr>
      <t xml:space="preserve"> Es sind mindestens 2 Zeitschritte notwendig (Vollständigkeit wird durch grünen Haken rechts oben symbolisiert)
</t>
    </r>
    <r>
      <rPr>
        <sz val="11"/>
        <color theme="1"/>
        <rFont val="Wingdings"/>
        <charset val="2"/>
      </rPr>
      <t xml:space="preserve"> </t>
    </r>
    <r>
      <rPr>
        <sz val="11"/>
        <color theme="1"/>
        <rFont val="Aptos Narrow"/>
        <family val="2"/>
        <scheme val="minor"/>
      </rPr>
      <t xml:space="preserve"> Die eingegebenen Daten werden als Mittelwerte für den aktuellen Zeitschritt interpretiert (Keyword: Step Graph)</t>
    </r>
    <r>
      <rPr>
        <sz val="11"/>
        <color theme="1"/>
        <rFont val="Wingdings"/>
        <charset val="2"/>
      </rPr>
      <t xml:space="preserve">
 </t>
    </r>
    <r>
      <rPr>
        <sz val="11"/>
        <color theme="1"/>
        <rFont val="Aptos Narrow"/>
        <family val="2"/>
        <scheme val="minor"/>
      </rPr>
      <t xml:space="preserve"> Sollten weitere Diagramme benötigt werden können diese mit dem + über Spalte "AQ" angezeigt werden</t>
    </r>
  </si>
  <si>
    <t>Produkte-Einheiten</t>
  </si>
  <si>
    <t>pcs./a</t>
  </si>
  <si>
    <t>Hilfsbereich</t>
  </si>
  <si>
    <t>Radio Buttons (0 = nicht auswählt, 1 = nein, 2 = ja)</t>
  </si>
  <si>
    <t>Zusatzinfo ausgefüllt ?</t>
  </si>
  <si>
    <t>Alles richig ausgefüllt?</t>
  </si>
  <si>
    <r>
      <t>Das Projekt "</t>
    </r>
    <r>
      <rPr>
        <b/>
        <sz val="11"/>
        <color theme="1"/>
        <rFont val="Aptos Narrow"/>
        <family val="2"/>
        <scheme val="minor"/>
      </rPr>
      <t>FLEXcheck</t>
    </r>
    <r>
      <rPr>
        <sz val="11"/>
        <color theme="1"/>
        <rFont val="Aptos Narrow"/>
        <family val="2"/>
        <scheme val="minor"/>
      </rPr>
      <t>" sowie die Erstellung des Tools "</t>
    </r>
    <r>
      <rPr>
        <b/>
        <sz val="11"/>
        <color theme="1"/>
        <rFont val="Aptos Narrow"/>
        <family val="2"/>
        <scheme val="minor"/>
      </rPr>
      <t>FLEXcel</t>
    </r>
    <r>
      <rPr>
        <sz val="11"/>
        <color theme="1"/>
        <rFont val="Aptos Narrow"/>
        <family val="2"/>
        <scheme val="minor"/>
      </rPr>
      <t xml:space="preserve">" wurden gefördert durch das </t>
    </r>
    <r>
      <rPr>
        <b/>
        <sz val="11"/>
        <color theme="1"/>
        <rFont val="Aptos Narrow"/>
        <family val="2"/>
        <scheme val="minor"/>
      </rPr>
      <t>Land Steiermark</t>
    </r>
    <r>
      <rPr>
        <sz val="11"/>
        <color theme="1"/>
        <rFont val="Aptos Narrow"/>
        <family val="2"/>
        <scheme val="minor"/>
      </rPr>
      <t xml:space="preserve"> im Rahmen der </t>
    </r>
    <r>
      <rPr>
        <b/>
        <sz val="11"/>
        <color theme="1"/>
        <rFont val="Aptos Narrow"/>
        <family val="2"/>
        <scheme val="minor"/>
      </rPr>
      <t>15. Ausschreibung (2022): Green Tech X</t>
    </r>
    <r>
      <rPr>
        <sz val="11"/>
        <color theme="1"/>
        <rFont val="Aptos Narrow"/>
        <family val="2"/>
        <scheme val="minor"/>
      </rPr>
      <t xml:space="preserve"> des Zukunftsfonds unter der Projektnummer </t>
    </r>
    <r>
      <rPr>
        <b/>
        <sz val="11"/>
        <color theme="1"/>
        <rFont val="Aptos Narrow"/>
        <family val="2"/>
        <scheme val="minor"/>
      </rPr>
      <t>PN1513</t>
    </r>
    <r>
      <rPr>
        <sz val="11"/>
        <color theme="1"/>
        <rFont val="Aptos Narrow"/>
        <family val="2"/>
        <scheme val="minor"/>
      </rPr>
      <t>.</t>
    </r>
  </si>
  <si>
    <t>Lastgänge energieintensiver Prozesse</t>
  </si>
  <si>
    <t>Die Möglichkeit Lastgänge von Prozessen in die Bewertung miteinzubeziehen ist im separaten Tabellenblatt "LASTGÄNGE" gegeben.</t>
  </si>
  <si>
    <t>Lastgänge energie-
intensiver Prozesse</t>
  </si>
  <si>
    <t>Alles richtig ausgefüllt?</t>
  </si>
  <si>
    <t>Radio Buttons (0 = nicht ausgefüllt, 1 = nein, 2 = ja, 3 = Teilweise)</t>
  </si>
  <si>
    <t>Radio Buttons (0 = nicht ausgefüllt, 1 = nein, 2 = ja)</t>
  </si>
  <si>
    <t>Berechnungen</t>
  </si>
  <si>
    <t>Kategorie</t>
  </si>
  <si>
    <t>Radio Buttons und Kontrollkästchen</t>
  </si>
  <si>
    <r>
      <t xml:space="preserve">Ist eine </t>
    </r>
    <r>
      <rPr>
        <b/>
        <sz val="10"/>
        <color theme="1"/>
        <rFont val="Calibri"/>
        <family val="2"/>
      </rPr>
      <t>Absatzsteigerung</t>
    </r>
    <r>
      <rPr>
        <sz val="10"/>
        <color theme="1"/>
        <rFont val="Calibri"/>
        <family val="2"/>
      </rPr>
      <t xml:space="preserve"> geplant?</t>
    </r>
  </si>
  <si>
    <r>
      <t xml:space="preserve">Sind Anschaffungen bzw. der Ausbau von </t>
    </r>
    <r>
      <rPr>
        <b/>
        <sz val="10"/>
        <color theme="1"/>
        <rFont val="Calibri"/>
        <family val="2"/>
      </rPr>
      <t>erneuerbaren Energieträgern</t>
    </r>
    <r>
      <rPr>
        <sz val="10"/>
        <color theme="1"/>
        <rFont val="Calibri"/>
        <family val="2"/>
      </rPr>
      <t xml:space="preserve"> fix geplant?</t>
    </r>
  </si>
  <si>
    <t>Weitere Bedingungen?</t>
  </si>
  <si>
    <t>Teilnahme an Flexibilitätsmärkten?</t>
  </si>
  <si>
    <r>
      <t xml:space="preserve">Jährliche Produktionsmenge
</t>
    </r>
    <r>
      <rPr>
        <sz val="6.5"/>
        <color theme="1"/>
        <rFont val="Calibri"/>
        <family val="2"/>
      </rPr>
      <t>(Einheit mittels Dropdown wählen)</t>
    </r>
  </si>
  <si>
    <t>Max. Score</t>
  </si>
  <si>
    <t>Logik</t>
  </si>
  <si>
    <t>Keine Neuerungen/keine Flexibilitätserhöhung</t>
  </si>
  <si>
    <t>Wert</t>
  </si>
  <si>
    <t>Keine weiteren/keine Flexibilitätserhöhung</t>
  </si>
  <si>
    <t>Ohne Neuerungen schlecht, sonst neutral</t>
  </si>
  <si>
    <t>Bereits Teilnahme ++; wenn denkbar +</t>
  </si>
  <si>
    <t>Antwort kopiert</t>
  </si>
  <si>
    <t>Weitere Bedingungen</t>
  </si>
  <si>
    <t>Nebenrechnungen</t>
  </si>
  <si>
    <t>Maximale Durchläufe pro Jahr</t>
  </si>
  <si>
    <r>
      <t xml:space="preserve">Durchlaufzeit
</t>
    </r>
    <r>
      <rPr>
        <sz val="6.5"/>
        <color theme="1"/>
        <rFont val="Calibri"/>
        <family val="2"/>
      </rPr>
      <t>(in Stunden pro Tonne oder Stück)</t>
    </r>
  </si>
  <si>
    <t>Anzahl der Produktarten; Mehr Produkte/ Mehr Flex</t>
  </si>
  <si>
    <t>IST Prod/Max Prod Mittelwert über nicht null</t>
  </si>
  <si>
    <t>Diagramm</t>
  </si>
  <si>
    <t>Zu Ergebnissen</t>
  </si>
  <si>
    <t>(-SIGN(SUM(dP))+SUM(ABS(dP)))/max(P) - 1</t>
  </si>
  <si>
    <t>Min.Score</t>
  </si>
  <si>
    <t>geplante Stillstände können theroetisch verschoben werden</t>
  </si>
  <si>
    <t>Schichtbetrieb</t>
  </si>
  <si>
    <t>Schichtbetrieb bedeutet Flexibilisierungspotential</t>
  </si>
  <si>
    <t>Zwischenlager</t>
  </si>
  <si>
    <t>Mehr Lager ermöglicht Verschiebung</t>
  </si>
  <si>
    <t>Aufzeichnung der Lagerfüllstände</t>
  </si>
  <si>
    <t>Aufzeichnungen zeigen hohe Digitalisierung</t>
  </si>
  <si>
    <t>Radio Buttons (0 = nicht ausgewählt, 1 = nein, 2 = ja)</t>
  </si>
  <si>
    <t>Rohmaterial pro Jahr</t>
  </si>
  <si>
    <t>Gesamtbetriebszeit</t>
  </si>
  <si>
    <t>Eigenerzeugung</t>
  </si>
  <si>
    <t>Lieferfristen</t>
  </si>
  <si>
    <t>Materialanlieferung</t>
  </si>
  <si>
    <t>Kundenpriorität</t>
  </si>
  <si>
    <t>Strom- bzw. Energiepreis variiert</t>
  </si>
  <si>
    <t>Zusatz</t>
  </si>
  <si>
    <r>
      <t xml:space="preserve">Weitere wichtige Standort- und Umweltfaktoren 
</t>
    </r>
    <r>
      <rPr>
        <sz val="8"/>
        <color theme="1"/>
        <rFont val="Calibri"/>
        <family val="2"/>
      </rPr>
      <t>(z.B. regionale Einschränkungen, saisonale Bedingungen etc.)</t>
    </r>
  </si>
  <si>
    <t>Sind welche vorhanden?</t>
  </si>
  <si>
    <t>Wenn mind. Einer vorhanden ist dann positiv</t>
  </si>
  <si>
    <t>Energie aus Eigenerzeugung ist aktuell vorhanden (z.B. Hoher Ertrag an Solarstrom)</t>
  </si>
  <si>
    <t xml:space="preserve">  •  </t>
  </si>
  <si>
    <t xml:space="preserve">  •</t>
  </si>
  <si>
    <t>Strom- bzw. Energiepreis ändert sich</t>
  </si>
  <si>
    <t>Kunde mit einer hohen Priorität ändert das gewünschte Lieferdatum</t>
  </si>
  <si>
    <t>Anstehende Materialanlieferungen wurden geändert</t>
  </si>
  <si>
    <t>Anstehende Lieferfristen wurden verschoben</t>
  </si>
  <si>
    <t>1.</t>
  </si>
  <si>
    <t>2.</t>
  </si>
  <si>
    <t>3.</t>
  </si>
  <si>
    <t>4.</t>
  </si>
  <si>
    <t>5.</t>
  </si>
  <si>
    <t>Teilweise vorhanden halbe Punkte, sonst doppelte +1 Zusatz</t>
  </si>
  <si>
    <t>Kommentare (Digitalisierung)</t>
  </si>
  <si>
    <r>
      <t xml:space="preserve">Freier Platz für </t>
    </r>
    <r>
      <rPr>
        <b/>
        <sz val="10"/>
        <color theme="1"/>
        <rFont val="Calibri"/>
        <family val="2"/>
      </rPr>
      <t>zusätzliche Informationen oder Kommentare</t>
    </r>
    <r>
      <rPr>
        <sz val="10"/>
        <color theme="1"/>
        <rFont val="Calibri"/>
        <family val="2"/>
      </rPr>
      <t xml:space="preserve"> zum </t>
    </r>
    <r>
      <rPr>
        <b/>
        <sz val="10"/>
        <color theme="1"/>
        <rFont val="Calibri"/>
        <family val="2"/>
      </rPr>
      <t>Thema Digitalisierung</t>
    </r>
    <r>
      <rPr>
        <sz val="10"/>
        <color theme="1"/>
        <rFont val="Calibri"/>
        <family val="2"/>
      </rPr>
      <t>.</t>
    </r>
  </si>
  <si>
    <t>Beschreibung</t>
  </si>
  <si>
    <t>Manuelle Auswahl</t>
  </si>
  <si>
    <t>Optional</t>
  </si>
  <si>
    <t>Filled</t>
  </si>
  <si>
    <t>Weitere Maßnahmen denkbar</t>
  </si>
  <si>
    <r>
      <t xml:space="preserve">Sind </t>
    </r>
    <r>
      <rPr>
        <b/>
        <sz val="10"/>
        <color theme="1"/>
        <rFont val="Calibri"/>
        <family val="2"/>
      </rPr>
      <t>weitere betriebliche Flexibilisierungsmaßnahmen</t>
    </r>
    <r>
      <rPr>
        <sz val="10"/>
        <color theme="1"/>
        <rFont val="Calibri"/>
        <family val="2"/>
      </rPr>
      <t xml:space="preserve"> in ihrem Betrieb denkbar?
</t>
    </r>
    <r>
      <rPr>
        <sz val="6.5"/>
        <color theme="1"/>
        <rFont val="Calibri"/>
        <family val="2"/>
      </rPr>
      <t>Kurzes Statement zur möglichen Einführung/Änderung von Schichtbetrieben, Betriebsurlaubszeiten, Lieferzeiten, Anlieferungen, usw…</t>
    </r>
  </si>
  <si>
    <t>Score</t>
  </si>
  <si>
    <t>Negativ</t>
  </si>
  <si>
    <t>Neutral</t>
  </si>
  <si>
    <t>Positiv</t>
  </si>
  <si>
    <t>Gesamt-Score</t>
  </si>
  <si>
    <t>Gewichtung</t>
  </si>
  <si>
    <t>Teilnahme an Flexibilitätsmärkten</t>
  </si>
  <si>
    <t>Zusatzinformationen</t>
  </si>
  <si>
    <t>Produktvariabilität</t>
  </si>
  <si>
    <t>Bewertung</t>
  </si>
  <si>
    <t>FLEXIBILITÄTSBEWERTUNG FÜR DEN BETRIEB</t>
  </si>
  <si>
    <t>Manuelle Bewertung (Positiv / Neutral / Negativ)</t>
  </si>
  <si>
    <t>Manuelle Bewertung des Zusatzfaktors (Positiv / Neutral / Negativ)</t>
  </si>
  <si>
    <t>Checkbox/Zusatzinfo</t>
  </si>
  <si>
    <t>Latsgänge energieintensiver Prozesse</t>
  </si>
  <si>
    <t>Reihung</t>
  </si>
  <si>
    <r>
      <rPr>
        <b/>
        <u/>
        <sz val="10"/>
        <color theme="1"/>
        <rFont val="Calibri"/>
        <family val="2"/>
      </rPr>
      <t>Sortieren</t>
    </r>
    <r>
      <rPr>
        <sz val="10"/>
        <color theme="1"/>
        <rFont val="Calibri"/>
        <family val="2"/>
      </rPr>
      <t xml:space="preserve"> Sie folgende </t>
    </r>
    <r>
      <rPr>
        <b/>
        <u/>
        <sz val="10"/>
        <color theme="1"/>
        <rFont val="Calibri"/>
        <family val="2"/>
      </rPr>
      <t>äußere Einflussfaktoren</t>
    </r>
    <r>
      <rPr>
        <sz val="10"/>
        <color theme="1"/>
        <rFont val="Calibri"/>
        <family val="2"/>
      </rPr>
      <t xml:space="preserve"> auf das Produktionsverhalten nach ihrer Relevanz für den Betrieb (1-5 jeweils einmal vergeben). Eine</t>
    </r>
    <r>
      <rPr>
        <b/>
        <sz val="10"/>
        <color theme="1"/>
        <rFont val="Calibri"/>
        <family val="2"/>
      </rPr>
      <t xml:space="preserve"> niedrige Zahl (1)</t>
    </r>
    <r>
      <rPr>
        <sz val="10"/>
        <color theme="1"/>
        <rFont val="Calibri"/>
        <family val="2"/>
      </rPr>
      <t xml:space="preserve"> bedeutet hier, dass der</t>
    </r>
    <r>
      <rPr>
        <b/>
        <sz val="10"/>
        <color theme="1"/>
        <rFont val="Calibri"/>
        <family val="2"/>
      </rPr>
      <t xml:space="preserve"> Betrieb ohne Änderung</t>
    </r>
    <r>
      <rPr>
        <sz val="10"/>
        <color theme="1"/>
        <rFont val="Calibri"/>
        <family val="2"/>
      </rPr>
      <t xml:space="preserve"> weiterläuft, und eine </t>
    </r>
    <r>
      <rPr>
        <b/>
        <sz val="10"/>
        <color theme="1"/>
        <rFont val="Calibri"/>
        <family val="2"/>
      </rPr>
      <t>hohe Zahl (5)</t>
    </r>
    <r>
      <rPr>
        <sz val="10"/>
        <color theme="1"/>
        <rFont val="Calibri"/>
        <family val="2"/>
      </rPr>
      <t xml:space="preserve"> bedeutet, dass der</t>
    </r>
    <r>
      <rPr>
        <b/>
        <sz val="10"/>
        <color theme="1"/>
        <rFont val="Calibri"/>
        <family val="2"/>
      </rPr>
      <t xml:space="preserve"> Produktionsplan massiv abgeändert</t>
    </r>
    <r>
      <rPr>
        <sz val="10"/>
        <color theme="1"/>
        <rFont val="Calibri"/>
        <family val="2"/>
      </rPr>
      <t xml:space="preserve"> wird. Ergänzen Sie bei Bedarf einen oder mehrere weitere fehlende wichtige Faktoren.</t>
    </r>
  </si>
  <si>
    <t>Eher positiv</t>
  </si>
  <si>
    <t>Daten des Energieverbrauchs</t>
  </si>
  <si>
    <t>Daten der Energieaufbringung</t>
  </si>
  <si>
    <t>Daten der Produktion</t>
  </si>
  <si>
    <t>Digitale Energieverbrauchsdaten</t>
  </si>
  <si>
    <t>Digitale Energieaufbringungsdaten</t>
  </si>
  <si>
    <t>Digitale Produktionsdaten</t>
  </si>
  <si>
    <t>Live-Zugriff auf Produktionsdaten</t>
  </si>
  <si>
    <t>Live-Zugriff auf Aufbringungsdaten</t>
  </si>
  <si>
    <t>Live-Zugriff auf Verbrauchsdaten</t>
  </si>
  <si>
    <t>Energie-Management System</t>
  </si>
  <si>
    <t>Geplante Stillstände</t>
  </si>
  <si>
    <t>Alternative Energietechnologien</t>
  </si>
  <si>
    <t>Energiespeichertechnologien</t>
  </si>
  <si>
    <t>Weitere Materiallager/-speicher</t>
  </si>
  <si>
    <t>RI-Schemata</t>
  </si>
  <si>
    <t>Stromflussdiagramme</t>
  </si>
  <si>
    <t>Wärmeflussdiagramme</t>
  </si>
  <si>
    <t>Energie-Audit</t>
  </si>
  <si>
    <t>ISO 50001</t>
  </si>
  <si>
    <r>
      <t xml:space="preserve">Sollte im vorhergehenden Abschnitt eine </t>
    </r>
    <r>
      <rPr>
        <b/>
        <u/>
        <sz val="10"/>
        <color theme="1"/>
        <rFont val="Calibri"/>
        <family val="2"/>
      </rPr>
      <t>Art der Energieaufbringung</t>
    </r>
    <r>
      <rPr>
        <sz val="10"/>
        <color theme="1"/>
        <rFont val="Calibri"/>
        <family val="2"/>
      </rPr>
      <t xml:space="preserve"> fehlen, bitte diese hier ergänzen.</t>
    </r>
  </si>
  <si>
    <r>
      <t xml:space="preserve">Sollte im vorhergehenden Abschnitt eine </t>
    </r>
    <r>
      <rPr>
        <b/>
        <u/>
        <sz val="10"/>
        <color theme="1"/>
        <rFont val="Calibri"/>
        <family val="2"/>
      </rPr>
      <t>Art der Energiespeicherung</t>
    </r>
    <r>
      <rPr>
        <sz val="10"/>
        <color theme="1"/>
        <rFont val="Calibri"/>
        <family val="2"/>
      </rPr>
      <t xml:space="preserve"> fehlen, bitte diese hier ergänzen.</t>
    </r>
  </si>
  <si>
    <t>Produktionskennzahlen</t>
  </si>
  <si>
    <t>Produktionsmenge (t/a)</t>
  </si>
  <si>
    <t>Aus UNTERNEHMUNG</t>
  </si>
  <si>
    <t>Durchlaufzeit (h/t)</t>
  </si>
  <si>
    <t>Spezifische Gesamt Durchlaufzeit (h/a)</t>
  </si>
  <si>
    <t>Aus Werten darüber abgeleitet</t>
  </si>
  <si>
    <t>Energiebedarf (MWh/a)</t>
  </si>
  <si>
    <t>Energieintensität (MWh/t)</t>
  </si>
  <si>
    <t>Bedarf aus ENERGIETECHNIK und mit Wert darüber</t>
  </si>
  <si>
    <t>Produktart/-name</t>
  </si>
  <si>
    <t>Energieintensität</t>
  </si>
  <si>
    <t>Produktionsauslastung</t>
  </si>
  <si>
    <t>Produktionstechnische Neuerungen</t>
  </si>
  <si>
    <t>Absatzsteigerung</t>
  </si>
  <si>
    <t>Ergänzung direkt im Part darüber</t>
  </si>
  <si>
    <t>Speichermedium</t>
  </si>
  <si>
    <t>MWh</t>
  </si>
  <si>
    <r>
      <t>MW</t>
    </r>
    <r>
      <rPr>
        <vertAlign val="subscript"/>
        <sz val="9"/>
        <color theme="1"/>
        <rFont val="Calibri"/>
        <family val="2"/>
      </rPr>
      <t>el</t>
    </r>
    <r>
      <rPr>
        <sz val="9"/>
        <color theme="1"/>
        <rFont val="Calibri"/>
        <family val="2"/>
      </rPr>
      <t>h/a</t>
    </r>
  </si>
  <si>
    <r>
      <t>MW</t>
    </r>
    <r>
      <rPr>
        <vertAlign val="subscript"/>
        <sz val="9"/>
        <color theme="1"/>
        <rFont val="Calibri"/>
        <family val="2"/>
      </rPr>
      <t>th</t>
    </r>
    <r>
      <rPr>
        <sz val="9"/>
        <color theme="1"/>
        <rFont val="Calibri"/>
        <family val="2"/>
      </rPr>
      <t>h/a</t>
    </r>
  </si>
  <si>
    <t>Elektrische Aufbringung</t>
  </si>
  <si>
    <t>Summe der elektrischen Energien</t>
  </si>
  <si>
    <t>Thermische Aufbringung</t>
  </si>
  <si>
    <t>Summe der thermischen Energien</t>
  </si>
  <si>
    <t>Speichervolumen
 je Speicher</t>
  </si>
  <si>
    <t>Relative abweichung von 50% Speicher zu Gesamtaufbringung</t>
  </si>
  <si>
    <t>Relative abweichung von 50% Speicher</t>
  </si>
  <si>
    <t>Alternativer Brennstoff (fossil)</t>
  </si>
  <si>
    <t>Alternativer Brennstoff (biogen)</t>
  </si>
  <si>
    <t>Gesamtbedarf</t>
  </si>
  <si>
    <t>Shannon-Index gewichtet mit diversität</t>
  </si>
  <si>
    <t>Diversifizierung</t>
  </si>
  <si>
    <t>Wirtschaftlichkeit</t>
  </si>
  <si>
    <t>Umweltverträglichkeit</t>
  </si>
  <si>
    <t>Versorgungssicherheit</t>
  </si>
  <si>
    <t>Typ</t>
  </si>
  <si>
    <t>Interpretation</t>
  </si>
  <si>
    <t>PROs</t>
  </si>
  <si>
    <t>CONs</t>
  </si>
  <si>
    <t>Pros:</t>
  </si>
  <si>
    <t>Cons:</t>
  </si>
  <si>
    <t>Hohe Anreize zur Flexibilitätsnutzung bei Energiepreisschwankungen||Einfache Argumentation gegenüber Geschäftsführung||Kurze Amortisationszeiten durch Fokus auf Einsparungen</t>
  </si>
  <si>
    <t>Kein Anreiz zur Investition in emissionsarme Technologien||Flexibilität primär kostengetrieben, nicht strategisch||Versorgungssicherheit wird vernachlässigt – Risiko bei Störungen</t>
  </si>
  <si>
    <t>Flexibilität dient vor allem Kostensenkung und Energieoptimierung||Geringer Aufwand zur Integration in bestehende Betriebsprozesse||Teilweise Nutzung ökologischer Effizienzmaßnahmen</t>
  </si>
  <si>
    <t>Ökologische Verbesserungen werden nur oberflächlich betrachtet||Wenig Investition in langfristige Versorgungssicherheit||Flexibilität bleibt kurzfristig orientiert</t>
  </si>
  <si>
    <t>Starke Fokussierung auf Kosteneffizienz durch flexible Fahrweise||Flexibilität kann als Instrument der Eigenversorgung dienen||Strategisches Peak-Shaving möglich</t>
  </si>
  <si>
    <t>Keine ökologische Zielverfolgung bei Flexibilitätsmaßnahmen||Begrenzter gesellschaftlicher Rückhalt für fossile Lösungen||Investitionen nur bei wirtschaftlichem Druck</t>
  </si>
  <si>
    <t>Gleichzeitige Erschließung von Einsparpotenzialen und CO₂-Reduktion||Förderfähigkeit für technologische Flexibilitätsmaßnahmen||Nutzung von Flexibilität zur Prozessoptimierung</t>
  </si>
  <si>
    <t>Versorgungssicherheit wird in Planung kaum berücksichtigt||Erhöhte Komplexität bei Zielabstimmung intern||Mögliche Zielkonflikte zwischen Ökologie und Kosten</t>
  </si>
  <si>
    <t>Kombination aus wirtschaftlicher und sicherheitsorientierter Flexibilitätsstrategie||Attraktiv für Systeme mit kritischen Energiebedarfen||Flexibilität als Ausfallpuffer nutzbar</t>
  </si>
  <si>
    <t>Umweltaspekte finden keine Berücksichtigung||Förderprogramme bleiben ungenutzt||Öffentlichkeitswirkung gering</t>
  </si>
  <si>
    <t>Flexibilität wird ganzheitlich, aber pragmatisch gedacht||Strategische Grundlage für modulare Flex-Lösungen||Vereinfachte Implementierung ohne Überfrachtung</t>
  </si>
  <si>
    <t>Wenig Innovationsdruck für ökologische Maßnahmen||Kaum Resilienz bei Extremereignissen||Mäßige Prioritätensetzung erschwert Fokus</t>
  </si>
  <si>
    <t>Flexibilität adressiert gleichzeitig Nachhaltigkeit, Effizienz und Grundversorgung||Breite Legitimation intern und extern||Gute Ausgangslage für komplexe Flexprojekte</t>
  </si>
  <si>
    <t>Wirtschaftlichkeit kann schwer kommunizierbar sein||Hoher Abstimmungsbedarf zwischen Zielen||Technisch aufwendige Umsetzung</t>
  </si>
  <si>
    <t>Geeignet für systemkritische Prozesse mit Nachhaltigkeitsanspruch||Flexibilität kann für Notfallstrategien genutzt werden||Grundlegende Wirtschaftlichkeitsorientierung bleibt erhalten</t>
  </si>
  <si>
    <t>Geringer Fokus auf kurzfristige Einsparpotenziale||Investitionen sind schwerer zu rechtfertigen||Möglicherweise ineffizienter Technologieeinsatz</t>
  </si>
  <si>
    <t>Robustes Konzept für volatile Märkte||Klimastrategie integrierbar in Betriebsabläufe||Gleichzeitiger Schutz vor Versorgungsausfällen</t>
  </si>
  <si>
    <t>Kostenoptimierung nicht im Fokus||Investitionen oft nicht wirtschaftlich tragfähig||Schwierige Bewertung des Flexibilitätsnutzens</t>
  </si>
  <si>
    <t>Hohe Betriebssicherheit durch Redundanz und Notfallstrategien||Flexibilität reduziert Anfälligkeit gegenüber Netzproblemen||Wirtschaftliche Grundbewertung möglich</t>
  </si>
  <si>
    <t>Umweltmaßnahmen werden vernachlässigt||Nutzung erneuerbarer Flexpotenziale gering||Kosten durch Sicherheitsreserven hoch</t>
  </si>
  <si>
    <t>Umfassende Nutzung von CO₂-reduzierender Flexibilität (z. B. Lastverlagerung)||Gute Positionierung für Förderprojekte||Starke ESG-konforme Außendarstellung</t>
  </si>
  <si>
    <t>Wenig Motivation für wirtschaftliche Optimierung||Kaum Vorbereitung auf Versorgungsausfälle||Technologischer Fokus oft nicht produktionstauglich</t>
  </si>
  <si>
    <t>Integration von Flexibilität zur Erreichung von Klimazielen||Nutzung emissionsarmer Betriebsmodi mit Sicherheitsaspekt||Geringe CO₂-Kosten durch strategischen Einsatz</t>
  </si>
  <si>
    <t>Hohe Kosten trotz niedriger Wirtschaftlichkeitsziele||Mangel an klaren Effizienzvorgaben||Versorgungssicherheit nicht ausreichend priorisiert</t>
  </si>
  <si>
    <t>Flexibilität primär zur Sicherung der Betriebsfähigkeit||Einsatz von Speicher- und Inselbetriebsoptionen||Geeignet für Notfall- oder Inselstrategien</t>
  </si>
  <si>
    <t>Sehr hohe Investitionen mit wenig wirtschaftlichem Nutzen||Kein Beitrag zu CO₂-Zielen||Langsame Innovationszyklen</t>
  </si>
  <si>
    <t>Maximale Ausfallsicherheit für energieintensive Prozesse||Ideal bei kritischen Infrastrukturen||Flexibilität zur Notversorgung vollständig nutzbar</t>
  </si>
  <si>
    <t>Keine wirtschaftliche oder ökologische Steuerung der Flexibilität||Extrem hohe Redundanzkosten||Technisch überkomplex</t>
  </si>
  <si>
    <t>Klimaziele im Vordergrund mit minimalem Wirtschaftsfokus||Gute Außenwirkung für Stakeholder||Flexibilität durch Einsatz erneuerbarer Energien</t>
  </si>
  <si>
    <t>Versorgungsrisiken unberücksichtigt||Geringe Prozessstabilität bei Energieengpässen||Flexibilität rein ökologisch motiviert</t>
  </si>
  <si>
    <t>Versorgungssicherheit wird durch Lastverschiebung und Speicher priorisiert||Geeignet für fragile Energielandschaften||Einsatz von Flexibilität als Schutzmaßnahme</t>
  </si>
  <si>
    <t>Wirtschaftlichkeit bleibt weitgehend unberücksichtigt||Ökologische Potenziale ungenutzt||Geringe Akzeptanz bei hohen Kosten</t>
  </si>
  <si>
    <t>Flexibilität wird als Absicherungsmaßnahme verstanden||Grundsätzlich ökologische Orientierung||Geeignet für resilienzorientierte Flexsysteme</t>
  </si>
  <si>
    <t>Wirtschaftlicher Nutzen schwer zu quantifizieren||Hohes Investitionsvolumen||Geringe Optimierungstiefe im Betrieb</t>
  </si>
  <si>
    <t>Ökologische Optimierung mit technischer Machbarkeit||Flexibilitätsmaßnahmen stark förderfähig||Positive Außenwirkung durch Klimasensibilität</t>
  </si>
  <si>
    <t>Kostenargumente schwer vermittelbar||Versorgungsrisiken können unterbewertet sein||Langsame Entscheidungsprozesse</t>
  </si>
  <si>
    <t>Ausgewogenes Zielprofil für Flex-Projekte||Gute Argumentationsbasis für Investitionen||Geeignet für langfristige ESG-Strategien</t>
  </si>
  <si>
    <t>Keine klare Priorität – Gefahr von Verzögerung||Komplexe Planung und Steuerung||Erfolg schwer messbar</t>
  </si>
  <si>
    <t>Klimafreundliche Flexibilität mit wirtschaftlichem Fokus||Geeignet für CO₂-arme Prozessoptimierung||Strategische Investitionen mit Effizienzpotenzial</t>
  </si>
  <si>
    <t>Versorgungssicherheit gering bewertet||Krisenfestigkeit nicht gegeben||Risiko bei Energiepreisvolatilität</t>
  </si>
  <si>
    <t>Stromspeicher</t>
  </si>
  <si>
    <t>Anderer Energiespeicher</t>
  </si>
  <si>
    <t>Speicherkategorie</t>
  </si>
  <si>
    <t>Jahresbedarf</t>
  </si>
  <si>
    <t>Ist-Stand</t>
  </si>
  <si>
    <t>Energieverbrauch &amp; Energieaufbringung</t>
  </si>
  <si>
    <t>Gesamte Aufbringung</t>
  </si>
  <si>
    <t>Energiebedarf</t>
  </si>
  <si>
    <t>Elektrisch</t>
  </si>
  <si>
    <t>Thermisch/Andere</t>
  </si>
  <si>
    <t>Bedarf elektrisch</t>
  </si>
  <si>
    <t>Bedarf thermisch</t>
  </si>
  <si>
    <t>Balance</t>
  </si>
  <si>
    <t>Gesamtertrag an Abwärme:</t>
  </si>
  <si>
    <r>
      <t>MWp/m</t>
    </r>
    <r>
      <rPr>
        <vertAlign val="superscript"/>
        <sz val="9"/>
        <color theme="1"/>
        <rFont val="Calibri"/>
        <family val="2"/>
      </rPr>
      <t>2</t>
    </r>
  </si>
  <si>
    <t>Netzbezug Strom</t>
  </si>
  <si>
    <t>Vebresserungspotential</t>
  </si>
  <si>
    <t>Kategorie (Aufbringung)</t>
  </si>
  <si>
    <t>Kategorie (Vebrauch)</t>
  </si>
  <si>
    <t>KWK-Brennstoffe</t>
  </si>
  <si>
    <t>Biogas</t>
  </si>
  <si>
    <t>Biomethan</t>
  </si>
  <si>
    <t>Wasserstoff</t>
  </si>
  <si>
    <t>Synthetisches Mehtan</t>
  </si>
  <si>
    <t>Dual-Fuel</t>
  </si>
  <si>
    <t>Ergas</t>
  </si>
  <si>
    <t>Heizöl</t>
  </si>
  <si>
    <t>Diesel</t>
  </si>
  <si>
    <t>Kohle/Koks/Braunkohle</t>
  </si>
  <si>
    <t>Andere fossile Brennstoffe</t>
  </si>
  <si>
    <t>Andere regenerative Brennstoffe</t>
  </si>
  <si>
    <t>KWK-thermisch</t>
  </si>
  <si>
    <t>(Weitere) erneuerbare Energieträger</t>
  </si>
  <si>
    <t>GESAMTBEWERTUNG</t>
  </si>
  <si>
    <t>Gesamtscore</t>
  </si>
  <si>
    <t>Unternehmung</t>
  </si>
  <si>
    <t>Energietechnik</t>
  </si>
  <si>
    <t>Prozesstechnik</t>
  </si>
  <si>
    <t>Digitalisierung</t>
  </si>
  <si>
    <t>Flexibilisierung</t>
  </si>
  <si>
    <t>Gewicht</t>
  </si>
  <si>
    <t>Max-Punkte</t>
  </si>
  <si>
    <t>IST-Punkte</t>
  </si>
  <si>
    <t>Prozent</t>
  </si>
  <si>
    <t>Version: 1.0</t>
  </si>
  <si>
    <t>Ressourcenbedarf (t_roh/a)</t>
  </si>
  <si>
    <t>Antwort kopiert (Score gemeinsam mit Aufbringung)</t>
  </si>
  <si>
    <t>Ressourceneffizienz</t>
  </si>
  <si>
    <r>
      <t xml:space="preserve">Im Rahmen des Projektes </t>
    </r>
    <r>
      <rPr>
        <i/>
        <sz val="10"/>
        <color theme="1"/>
        <rFont val="Aptos Narrow"/>
        <family val="2"/>
        <scheme val="minor"/>
      </rPr>
      <t>„FLEXcheck - Entwicklung eines Leitfadens zur systematischen Identifizierung &amp; Bewertung von Flexibilitätspotentialen in der Industrie“</t>
    </r>
    <r>
      <rPr>
        <sz val="10"/>
        <color theme="1"/>
        <rFont val="Aptos Narrow"/>
        <family val="2"/>
        <scheme val="minor"/>
      </rPr>
      <t xml:space="preserve"> sollen Flexibilitätspotentiale im Bereich der Energieaufbringung und -bereitstellung, als auch im Bereich der Produktion für industrielle Betriebe erhoben und aufgezeigt werden. Um dies zu systematisieren ist es notwendig Industriebetriebe individuell charakterisieren zu können und entsprechend der Rahmenbedingungen eine einheitliche Vorgehensweiße abzuleiten.
Dafür wurde während des Projekts ein Fragebogen entwickelten mit dessen Hilfe die Rahmenbedingungen der Industriepartner aufgenommen und in Folge analysiert wurden. Dieser Fragebogen wurde nun in Form eines Excel-Tools mit dem Namen "FLEXcel" zur allgemeinen Nutzung bereitgestellt.
Ziel diese Tools ist es eine Übersicht über die Prozessschritte und Energieflüsse zu erlangen um daraus mögliche Flexibilitätspotentiale identifizieren zu können. Allgemein dient dieses Tool auch als Leitfaden für die Experten-Interviews mit den jeweiligen Ansprechpersonen in den Bereichen Energietechnik, Prozesstechnik sowie Digitale Infrastruktur in den Betrieben um einen Überblick über diese Bereiche zu erhalten. Das Ergebnis des Fragebogens soll eine Einschätzung liefern, ob sich für den Betrieb eine weitere Analyse der Flexibilitätspotentiale im weiteren Verlauf lohnen kann oder nicht.
Um dies zu erreichen beschäftigt sich dieses Tool mit Fragestellungen zu fünf Kapitel, welche auf separaten Blättern dieser Datei zu finden sind. Diese Kapitel sind:
  • </t>
    </r>
    <r>
      <rPr>
        <b/>
        <sz val="10"/>
        <color theme="1"/>
        <rFont val="Aptos Narrow"/>
        <family val="2"/>
        <scheme val="minor"/>
      </rPr>
      <t>Unternehmung</t>
    </r>
    <r>
      <rPr>
        <sz val="10"/>
        <color theme="1"/>
        <rFont val="Aptos Narrow"/>
        <family val="2"/>
        <scheme val="minor"/>
      </rPr>
      <t xml:space="preserve">
  • </t>
    </r>
    <r>
      <rPr>
        <b/>
        <sz val="10"/>
        <color theme="1"/>
        <rFont val="Aptos Narrow"/>
        <family val="2"/>
        <scheme val="minor"/>
      </rPr>
      <t>Energietechnik</t>
    </r>
    <r>
      <rPr>
        <sz val="10"/>
        <color theme="1"/>
        <rFont val="Aptos Narrow"/>
        <family val="2"/>
        <scheme val="minor"/>
      </rPr>
      <t xml:space="preserve">
  • </t>
    </r>
    <r>
      <rPr>
        <b/>
        <sz val="10"/>
        <color theme="1"/>
        <rFont val="Aptos Narrow"/>
        <family val="2"/>
        <scheme val="minor"/>
      </rPr>
      <t>Prozesstechnik</t>
    </r>
    <r>
      <rPr>
        <sz val="10"/>
        <color theme="1"/>
        <rFont val="Aptos Narrow"/>
        <family val="2"/>
        <scheme val="minor"/>
      </rPr>
      <t xml:space="preserve">
  • </t>
    </r>
    <r>
      <rPr>
        <b/>
        <sz val="10"/>
        <color theme="1"/>
        <rFont val="Aptos Narrow"/>
        <family val="2"/>
        <scheme val="minor"/>
      </rPr>
      <t>Digitalisierung</t>
    </r>
    <r>
      <rPr>
        <sz val="10"/>
        <color theme="1"/>
        <rFont val="Aptos Narrow"/>
        <family val="2"/>
        <scheme val="minor"/>
      </rPr>
      <t xml:space="preserve">
  • </t>
    </r>
    <r>
      <rPr>
        <b/>
        <sz val="10"/>
        <color theme="1"/>
        <rFont val="Aptos Narrow"/>
        <family val="2"/>
        <scheme val="minor"/>
      </rPr>
      <t>Flexibilisierung</t>
    </r>
    <r>
      <rPr>
        <sz val="10"/>
        <color theme="1"/>
        <rFont val="Aptos Narrow"/>
        <family val="2"/>
        <scheme val="minor"/>
      </rPr>
      <t xml:space="preserve">
Im Bereich </t>
    </r>
    <r>
      <rPr>
        <i/>
        <sz val="10"/>
        <color theme="1"/>
        <rFont val="Aptos Narrow"/>
        <family val="2"/>
        <scheme val="minor"/>
      </rPr>
      <t>UNTERNEHMUNG</t>
    </r>
    <r>
      <rPr>
        <sz val="10"/>
        <color theme="1"/>
        <rFont val="Aptos Narrow"/>
        <family val="2"/>
        <scheme val="minor"/>
      </rPr>
      <t xml:space="preserve"> werden allgemeine Fragen zum Betrieb geklärt, sowie der Ist-Stand auf einer übergeordneten Betrachtungsebene erhoben. Die folgenden drei Kapitel beschäftigen sich dann in einem tiefergehenden Maße mit den entsprechenden Themen. Bestimmte Abschnitte des Fragebogens sind dabei von den jeweils zuständigen Ansprechpersonen auszufüllen. Das letzte Kapitel beschäftigt sich mit bereits identifizierten Flexibilitätsmöglichkeiten und deren Hemmnisse, sowie dem absehbaren Rahmen für die Hebung von Flexibilitätspotentialen. 
Für das gesamte Tool gilt, dass etwaige fehlende oder fehlerhafte Angaben automatisch gekennzeichnet werden. Hierzu befinden sich rechts neben jeder Frage ein Symbol das den Status der Frage anzeigt. Ein grün hinterlegter Haken zeigt an, dass alle erforderlichen Angaben gemacht wurden. Ein rot hinterlegtes X weist auf fehlende oder fehlerhafte Eingaben hin. Weiters werden im Verlauf des Fragebogens einige Fragen als optional gekennzeichnet sein - diese sind durch grau hinterlegte Symbole dargestellt. Diese sollen zusätzliche Bereiche abdecken, die nicht auf jedes Unternehmen zutreffen oder vorbereitend für weitere Analysen folgend dem „Leitfaden zur systematischen Identifizierung &amp; Bewertung von Flexibilitätspotentialen“ betrachtet werden Diese sind somit nicht zwingend notwendig für eine erste Abschätzung der Potentiale, werden aber bei Eintragung berücksichtigt.
Speziell das Blatt </t>
    </r>
    <r>
      <rPr>
        <i/>
        <sz val="10"/>
        <color theme="1"/>
        <rFont val="Aptos Narrow"/>
        <family val="2"/>
        <scheme val="minor"/>
      </rPr>
      <t>LASTGÄNGE</t>
    </r>
    <r>
      <rPr>
        <sz val="10"/>
        <color theme="1"/>
        <rFont val="Aptos Narrow"/>
        <family val="2"/>
        <scheme val="minor"/>
      </rPr>
      <t xml:space="preserve"> stellt einen signifikanten Mehrwert für weitergehende Analysen in Kooperation mit den Projektverantwortlichen dar, ist aber für eine erste Abschätzung der Potentiale nicht notwendig.
Abschließend findet sich im Bereich </t>
    </r>
    <r>
      <rPr>
        <i/>
        <sz val="10"/>
        <color theme="1"/>
        <rFont val="Aptos Narrow"/>
        <family val="2"/>
        <scheme val="minor"/>
      </rPr>
      <t>ERGEBNISSE</t>
    </r>
    <r>
      <rPr>
        <sz val="10"/>
        <color theme="1"/>
        <rFont val="Aptos Narrow"/>
        <family val="2"/>
        <scheme val="minor"/>
      </rPr>
      <t xml:space="preserve"> eine Übersicht über die getätigten Angaben, sowie eine erste Bewertung der Flexibilität des Betriebs. Diese Aussage ist nur als grundsätzliche erste Einschätzung ausgehend von den gemachten Angaben zu erachten, und kann von der tatsächlich realisierbaren Flexibilität dennoch stark abweichen.
Bei Fragen wenden Sie sich gerne jederzeit an eine der angegebenen Kontaktpersonen. Nur mit Ihrer aktiven Mithilfe können wir die Potentiale der energietechnischen Flexibilität in der Industrie aufzeigen und heben.</t>
    </r>
  </si>
  <si>
    <t>Zuletzt geändert: 12.09.2025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</si>
</sst>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h]:mm"/>
    <numFmt numFmtId="166" formatCode="0.000"/>
    <numFmt numFmtId="167" formatCode="0.0000%"/>
  </numFmts>
  <fonts count="45" x14ac:knownFonts="1">
    <font>
      <sz val="11"/>
      <color theme="1"/>
      <name val="Aptos Narrow"/>
      <family val="2"/>
      <scheme val="minor"/>
    </font>
    <font>
      <sz val="11"/>
      <color theme="1"/>
      <name val="Calibri"/>
      <family val="2"/>
    </font>
    <font>
      <sz val="11"/>
      <color theme="0"/>
      <name val="Calibri"/>
      <family val="2"/>
    </font>
    <font>
      <sz val="10"/>
      <color theme="1"/>
      <name val="Calibri"/>
      <family val="2"/>
    </font>
    <font>
      <b/>
      <sz val="10"/>
      <color theme="1"/>
      <name val="Calibri"/>
      <family val="2"/>
    </font>
    <font>
      <b/>
      <sz val="10"/>
      <color rgb="FF000000"/>
      <name val="Calibri"/>
      <family val="2"/>
    </font>
    <font>
      <sz val="5.5"/>
      <color rgb="FF999999"/>
      <name val="Calibri"/>
      <family val="2"/>
    </font>
    <font>
      <sz val="5.5"/>
      <color rgb="FF525252"/>
      <name val="Calibri"/>
      <family val="2"/>
    </font>
    <font>
      <sz val="9"/>
      <color theme="1"/>
      <name val="Calibri"/>
      <family val="2"/>
    </font>
    <font>
      <sz val="10"/>
      <color theme="1"/>
      <name val="Aptos Narrow"/>
      <family val="2"/>
    </font>
    <font>
      <i/>
      <sz val="8"/>
      <color rgb="FF000000"/>
      <name val="Calibri"/>
      <family val="2"/>
    </font>
    <font>
      <sz val="6.5"/>
      <color theme="1"/>
      <name val="Calibri"/>
      <family val="2"/>
    </font>
    <font>
      <u/>
      <sz val="11"/>
      <color theme="10"/>
      <name val="Aptos Narrow"/>
      <family val="2"/>
      <scheme val="minor"/>
    </font>
    <font>
      <u/>
      <sz val="9"/>
      <color theme="10"/>
      <name val="Calibri"/>
      <family val="2"/>
    </font>
    <font>
      <b/>
      <sz val="11"/>
      <color theme="1"/>
      <name val="Aptos Narrow"/>
      <family val="2"/>
      <scheme val="minor"/>
    </font>
    <font>
      <b/>
      <u/>
      <sz val="11"/>
      <color theme="1"/>
      <name val="Aptos Narrow"/>
      <family val="2"/>
      <scheme val="minor"/>
    </font>
    <font>
      <sz val="8"/>
      <name val="Aptos Narrow"/>
      <family val="2"/>
      <scheme val="minor"/>
    </font>
    <font>
      <vertAlign val="superscript"/>
      <sz val="5.5"/>
      <color rgb="FF999999"/>
      <name val="Calibri"/>
      <family val="2"/>
    </font>
    <font>
      <b/>
      <u/>
      <sz val="10"/>
      <color theme="1"/>
      <name val="Calibri"/>
      <family val="2"/>
    </font>
    <font>
      <sz val="8"/>
      <color theme="1"/>
      <name val="Calibri"/>
      <family val="2"/>
    </font>
    <font>
      <i/>
      <sz val="8"/>
      <color theme="1"/>
      <name val="Calibri"/>
      <family val="2"/>
    </font>
    <font>
      <sz val="9"/>
      <name val="Calibri"/>
      <family val="2"/>
    </font>
    <font>
      <vertAlign val="subscript"/>
      <sz val="9"/>
      <color theme="1"/>
      <name val="Calibri"/>
      <family val="2"/>
    </font>
    <font>
      <vertAlign val="superscript"/>
      <sz val="9"/>
      <color theme="1"/>
      <name val="Calibri"/>
      <family val="2"/>
    </font>
    <font>
      <i/>
      <sz val="9"/>
      <color theme="1"/>
      <name val="Calibri"/>
      <family val="2"/>
    </font>
    <font>
      <sz val="11"/>
      <name val="Aptos Narrow"/>
      <family val="2"/>
      <scheme val="minor"/>
    </font>
    <font>
      <sz val="10"/>
      <color rgb="FF000000"/>
      <name val="Calibri"/>
      <family val="2"/>
    </font>
    <font>
      <sz val="14"/>
      <color theme="1"/>
      <name val="Calibri"/>
      <family val="2"/>
    </font>
    <font>
      <b/>
      <sz val="9"/>
      <color theme="1"/>
      <name val="Calibri"/>
      <family val="2"/>
    </font>
    <font>
      <b/>
      <sz val="10"/>
      <name val="Calibri"/>
      <family val="2"/>
    </font>
    <font>
      <b/>
      <sz val="14"/>
      <color theme="1"/>
      <name val="Aptos Narrow"/>
      <family val="2"/>
      <scheme val="minor"/>
    </font>
    <font>
      <b/>
      <sz val="11"/>
      <color theme="1"/>
      <name val="Calibri"/>
      <family val="2"/>
    </font>
    <font>
      <sz val="10"/>
      <color theme="1"/>
      <name val="Aptos Narrow"/>
      <family val="2"/>
      <scheme val="minor"/>
    </font>
    <font>
      <i/>
      <sz val="10"/>
      <color theme="1"/>
      <name val="Aptos Narrow"/>
      <family val="2"/>
      <scheme val="minor"/>
    </font>
    <font>
      <sz val="12"/>
      <color rgb="FF000000"/>
      <name val="Aptos"/>
      <family val="2"/>
    </font>
    <font>
      <b/>
      <sz val="12"/>
      <color rgb="FF000000"/>
      <name val="Aptos"/>
      <family val="2"/>
    </font>
    <font>
      <sz val="11"/>
      <color theme="0"/>
      <name val="Aptos Narrow"/>
      <family val="2"/>
      <scheme val="minor"/>
    </font>
    <font>
      <b/>
      <sz val="11"/>
      <color theme="0"/>
      <name val="Aptos Narrow"/>
      <family val="2"/>
      <scheme val="minor"/>
    </font>
    <font>
      <sz val="11"/>
      <color theme="1"/>
      <name val="Wingdings"/>
      <charset val="2"/>
    </font>
    <font>
      <b/>
      <sz val="10"/>
      <color theme="1"/>
      <name val="Aptos Narrow"/>
      <family val="2"/>
      <scheme val="minor"/>
    </font>
    <font>
      <sz val="11"/>
      <color theme="1"/>
      <name val="Aptos Narrow"/>
      <family val="2"/>
      <scheme val="minor"/>
    </font>
    <font>
      <sz val="9"/>
      <color theme="1"/>
      <name val="Aptos Narrow"/>
      <family val="2"/>
      <scheme val="minor"/>
    </font>
    <font>
      <sz val="8"/>
      <color theme="1"/>
      <name val="Aptos Narrow"/>
      <family val="2"/>
      <scheme val="minor"/>
    </font>
    <font>
      <i/>
      <sz val="9"/>
      <color theme="1"/>
      <name val="Aptos Narrow"/>
      <family val="2"/>
      <scheme val="minor"/>
    </font>
    <font>
      <sz val="10"/>
      <name val="Aptos Narrow"/>
      <family val="2"/>
      <scheme val="minor"/>
    </font>
  </fonts>
  <fills count="16">
    <fill>
      <patternFill patternType="none"/>
    </fill>
    <fill>
      <patternFill patternType="gray125"/>
    </fill>
    <fill>
      <patternFill patternType="solid">
        <fgColor rgb="FF40B93C"/>
        <bgColor indexed="64"/>
      </patternFill>
    </fill>
    <fill>
      <patternFill patternType="solid">
        <fgColor rgb="FFD3F3CE"/>
        <bgColor indexed="64"/>
      </patternFill>
    </fill>
    <fill>
      <patternFill patternType="solid">
        <fgColor rgb="FFC6C6C6"/>
        <bgColor indexed="64"/>
      </patternFill>
    </fill>
    <fill>
      <patternFill patternType="solid">
        <fgColor theme="0" tint="-4.9989318521683403E-2"/>
        <bgColor indexed="64"/>
      </patternFill>
    </fill>
    <fill>
      <patternFill patternType="solid">
        <fgColor theme="0"/>
        <bgColor indexed="64"/>
      </patternFill>
    </fill>
    <fill>
      <patternFill patternType="solid">
        <fgColor rgb="FFE5F3CE"/>
        <bgColor indexed="64"/>
      </patternFill>
    </fill>
    <fill>
      <patternFill patternType="solid">
        <fgColor rgb="FFCEF3E9"/>
        <bgColor indexed="64"/>
      </patternFill>
    </fill>
    <fill>
      <gradientFill degree="90">
        <stop position="0">
          <color rgb="FFE5F3CE"/>
        </stop>
        <stop position="1">
          <color rgb="FFCEF3E9"/>
        </stop>
      </gradientFill>
    </fill>
    <fill>
      <patternFill patternType="solid">
        <fgColor theme="0" tint="-0.14999847407452621"/>
        <bgColor indexed="64"/>
      </patternFill>
    </fill>
    <fill>
      <patternFill patternType="solid">
        <fgColor theme="2"/>
        <bgColor indexed="64"/>
      </patternFill>
    </fill>
    <fill>
      <patternFill patternType="solid">
        <fgColor rgb="FF6C1C5B"/>
        <bgColor indexed="64"/>
      </patternFill>
    </fill>
    <fill>
      <patternFill patternType="solid">
        <fgColor theme="5" tint="0.59999389629810485"/>
        <bgColor indexed="64"/>
      </patternFill>
    </fill>
    <fill>
      <patternFill patternType="solid">
        <fgColor rgb="FFF6DEF1"/>
        <bgColor indexed="64"/>
      </patternFill>
    </fill>
    <fill>
      <patternFill patternType="solid">
        <fgColor rgb="FFECFAEA"/>
        <bgColor indexed="64"/>
      </patternFill>
    </fill>
  </fills>
  <borders count="108">
    <border>
      <left/>
      <right/>
      <top/>
      <bottom/>
      <diagonal/>
    </border>
    <border>
      <left/>
      <right/>
      <top/>
      <bottom style="thin">
        <color indexed="64"/>
      </bottom>
      <diagonal/>
    </border>
    <border>
      <left style="thin">
        <color theme="1"/>
      </left>
      <right style="thin">
        <color theme="1"/>
      </right>
      <top style="thin">
        <color theme="1"/>
      </top>
      <bottom style="thin">
        <color theme="1"/>
      </bottom>
      <diagonal/>
    </border>
    <border>
      <left/>
      <right/>
      <top/>
      <bottom style="thin">
        <color theme="0" tint="-0.24994659260841701"/>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style="thin">
        <color theme="0" tint="-0.24994659260841701"/>
      </right>
      <top/>
      <bottom/>
      <diagonal/>
    </border>
    <border>
      <left style="thin">
        <color theme="0" tint="-0.24994659260841701"/>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34998626667073579"/>
      </top>
      <bottom style="thin">
        <color theme="0" tint="-0.24994659260841701"/>
      </bottom>
      <diagonal/>
    </border>
    <border>
      <left/>
      <right style="thin">
        <color indexed="64"/>
      </right>
      <top style="thin">
        <color theme="0" tint="-0.34998626667073579"/>
      </top>
      <bottom style="thin">
        <color theme="0" tint="-0.24994659260841701"/>
      </bottom>
      <diagonal/>
    </border>
    <border>
      <left/>
      <right style="thin">
        <color theme="0" tint="-0.24994659260841701"/>
      </right>
      <top style="thin">
        <color theme="1"/>
      </top>
      <bottom style="thin">
        <color theme="1"/>
      </bottom>
      <diagonal/>
    </border>
    <border>
      <left/>
      <right/>
      <top style="thin">
        <color theme="1"/>
      </top>
      <bottom style="thin">
        <color theme="0" tint="-0.24994659260841701"/>
      </bottom>
      <diagonal/>
    </border>
    <border>
      <left/>
      <right style="thin">
        <color theme="0" tint="-0.24994659260841701"/>
      </right>
      <top style="thin">
        <color theme="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1"/>
      </left>
      <right style="thin">
        <color theme="0" tint="-0.24994659260841701"/>
      </right>
      <top style="thin">
        <color theme="1"/>
      </top>
      <bottom style="thin">
        <color theme="1"/>
      </bottom>
      <diagonal/>
    </border>
    <border>
      <left style="thin">
        <color theme="0" tint="-0.24994659260841701"/>
      </left>
      <right style="thin">
        <color theme="0" tint="-0.24994659260841701"/>
      </right>
      <top style="thin">
        <color theme="1"/>
      </top>
      <bottom style="thin">
        <color theme="1"/>
      </bottom>
      <diagonal/>
    </border>
    <border>
      <left style="thin">
        <color theme="0" tint="-0.24994659260841701"/>
      </left>
      <right style="thin">
        <color theme="1"/>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theme="1"/>
      </right>
      <top/>
      <bottom/>
      <diagonal/>
    </border>
    <border>
      <left/>
      <right/>
      <top style="thin">
        <color theme="1"/>
      </top>
      <bottom/>
      <diagonal/>
    </border>
    <border>
      <left/>
      <right style="thin">
        <color theme="0" tint="-0.24994659260841701"/>
      </right>
      <top style="thin">
        <color theme="1"/>
      </top>
      <bottom/>
      <diagonal/>
    </border>
    <border>
      <left/>
      <right style="thin">
        <color theme="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double">
        <color theme="0" tint="-0.24994659260841701"/>
      </bottom>
      <diagonal/>
    </border>
    <border>
      <left/>
      <right/>
      <top style="thin">
        <color theme="0" tint="-0.24994659260841701"/>
      </top>
      <bottom style="double">
        <color theme="0" tint="-0.24994659260841701"/>
      </bottom>
      <diagonal/>
    </border>
    <border>
      <left style="thin">
        <color theme="1"/>
      </left>
      <right/>
      <top style="thin">
        <color theme="1"/>
      </top>
      <bottom style="double">
        <color theme="0" tint="-0.24994659260841701"/>
      </bottom>
      <diagonal/>
    </border>
    <border>
      <left/>
      <right/>
      <top style="thin">
        <color theme="1"/>
      </top>
      <bottom style="double">
        <color theme="0" tint="-0.24994659260841701"/>
      </bottom>
      <diagonal/>
    </border>
    <border>
      <left/>
      <right style="thin">
        <color theme="1"/>
      </right>
      <top style="thin">
        <color theme="1"/>
      </top>
      <bottom style="double">
        <color theme="0" tint="-0.24994659260841701"/>
      </bottom>
      <diagonal/>
    </border>
    <border>
      <left/>
      <right style="thin">
        <color theme="0" tint="-0.24994659260841701"/>
      </right>
      <top style="thin">
        <color theme="0" tint="-0.24994659260841701"/>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bottom style="thin">
        <color theme="0" tint="-0.2499465926084170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0" tint="-0.24994659260841701"/>
      </right>
      <top style="thin">
        <color theme="1"/>
      </top>
      <bottom/>
      <diagonal/>
    </border>
    <border>
      <left style="thin">
        <color theme="0" tint="-0.24994659260841701"/>
      </left>
      <right style="thin">
        <color theme="0" tint="-0.24994659260841701"/>
      </right>
      <top style="thin">
        <color theme="1"/>
      </top>
      <bottom/>
      <diagonal/>
    </border>
    <border>
      <left style="thin">
        <color theme="0" tint="-0.24994659260841701"/>
      </left>
      <right style="thin">
        <color theme="1"/>
      </right>
      <top style="thin">
        <color theme="1"/>
      </top>
      <bottom/>
      <diagonal/>
    </border>
    <border>
      <left style="thin">
        <color indexed="64"/>
      </left>
      <right/>
      <top/>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diagonal/>
    </border>
    <border>
      <left style="thin">
        <color theme="0" tint="-0.24994659260841701"/>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style="thin">
        <color indexed="64"/>
      </bottom>
      <diagonal/>
    </border>
    <border>
      <left/>
      <right style="thin">
        <color indexed="64"/>
      </right>
      <top/>
      <bottom/>
      <diagonal/>
    </border>
    <border>
      <left style="thin">
        <color theme="1"/>
      </left>
      <right style="thin">
        <color theme="1"/>
      </right>
      <top/>
      <bottom style="thin">
        <color theme="1"/>
      </bottom>
      <diagonal/>
    </border>
    <border>
      <left style="thin">
        <color theme="1"/>
      </left>
      <right/>
      <top/>
      <bottom/>
      <diagonal/>
    </border>
    <border>
      <left style="thin">
        <color indexed="64"/>
      </left>
      <right style="thin">
        <color theme="0" tint="-0.24994659260841701"/>
      </right>
      <top/>
      <bottom style="thin">
        <color theme="0" tint="-0.24994659260841701"/>
      </bottom>
      <diagonal/>
    </border>
    <border>
      <left style="thin">
        <color indexed="64"/>
      </left>
      <right style="thin">
        <color indexed="64"/>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theme="0" tint="-0.24994659260841701"/>
      </top>
      <bottom style="thin">
        <color theme="0" tint="-0.24994659260841701"/>
      </bottom>
      <diagonal/>
    </border>
    <border>
      <left/>
      <right/>
      <top style="thin">
        <color theme="0" tint="-0.34998626667073579"/>
      </top>
      <bottom/>
      <diagonal/>
    </border>
    <border>
      <left/>
      <right style="thin">
        <color indexed="64"/>
      </right>
      <top style="thin">
        <color theme="0" tint="-0.34998626667073579"/>
      </top>
      <bottom/>
      <diagonal/>
    </border>
    <border>
      <left/>
      <right style="thin">
        <color theme="1"/>
      </right>
      <top/>
      <bottom style="thin">
        <color indexed="64"/>
      </bottom>
      <diagonal/>
    </border>
    <border>
      <left/>
      <right/>
      <top style="thin">
        <color theme="0" tint="-0.14996795556505021"/>
      </top>
      <bottom/>
      <diagonal/>
    </border>
    <border>
      <left/>
      <right/>
      <top/>
      <bottom style="thin">
        <color theme="0" tint="-0.14996795556505021"/>
      </bottom>
      <diagonal/>
    </border>
    <border>
      <left/>
      <right style="thin">
        <color theme="0" tint="-0.14993743705557422"/>
      </right>
      <top style="thin">
        <color theme="0" tint="-0.14996795556505021"/>
      </top>
      <bottom/>
      <diagonal/>
    </border>
    <border>
      <left/>
      <right style="thin">
        <color theme="0" tint="-0.14993743705557422"/>
      </right>
      <top/>
      <bottom/>
      <diagonal/>
    </border>
    <border>
      <left/>
      <right style="thin">
        <color theme="0" tint="-0.14993743705557422"/>
      </right>
      <top/>
      <bottom style="thin">
        <color theme="0" tint="-0.14996795556505021"/>
      </bottom>
      <diagonal/>
    </border>
    <border>
      <left style="thin">
        <color theme="0" tint="-0.14993743705557422"/>
      </left>
      <right/>
      <top style="thin">
        <color theme="0" tint="-0.14996795556505021"/>
      </top>
      <bottom/>
      <diagonal/>
    </border>
    <border>
      <left style="thin">
        <color theme="0" tint="-0.14993743705557422"/>
      </left>
      <right/>
      <top/>
      <bottom/>
      <diagonal/>
    </border>
    <border>
      <left style="thin">
        <color theme="0" tint="-0.14993743705557422"/>
      </left>
      <right/>
      <top/>
      <bottom style="thin">
        <color theme="0" tint="-0.14996795556505021"/>
      </bottom>
      <diagonal/>
    </border>
    <border>
      <left style="thin">
        <color theme="0" tint="-0.14993743705557422"/>
      </left>
      <right/>
      <top/>
      <bottom style="thin">
        <color theme="0" tint="-0.14990691854609822"/>
      </bottom>
      <diagonal/>
    </border>
    <border>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top/>
      <bottom/>
      <diagonal/>
    </border>
    <border>
      <left style="thin">
        <color theme="0" tint="-0.14990691854609822"/>
      </left>
      <right/>
      <top/>
      <bottom style="thin">
        <color theme="0" tint="-0.14993743705557422"/>
      </bottom>
      <diagonal/>
    </border>
    <border>
      <left style="thin">
        <color auto="1"/>
      </left>
      <right/>
      <top style="thin">
        <color auto="1"/>
      </top>
      <bottom style="thin">
        <color theme="0" tint="-0.24994659260841701"/>
      </bottom>
      <diagonal/>
    </border>
    <border>
      <left/>
      <right/>
      <top style="thin">
        <color auto="1"/>
      </top>
      <bottom style="thin">
        <color theme="0" tint="-0.24994659260841701"/>
      </bottom>
      <diagonal/>
    </border>
    <border>
      <left/>
      <right style="thin">
        <color auto="1"/>
      </right>
      <top style="thin">
        <color auto="1"/>
      </top>
      <bottom style="thin">
        <color theme="0" tint="-0.24994659260841701"/>
      </bottom>
      <diagonal/>
    </border>
  </borders>
  <cellStyleXfs count="4">
    <xf numFmtId="0" fontId="0" fillId="0" borderId="0"/>
    <xf numFmtId="0" fontId="12" fillId="0" borderId="0" applyNumberFormat="0" applyFill="0" applyBorder="0" applyAlignment="0" applyProtection="0"/>
    <xf numFmtId="9" fontId="40" fillId="0" borderId="0" applyFont="0" applyFill="0" applyBorder="0" applyAlignment="0" applyProtection="0"/>
    <xf numFmtId="43" fontId="40" fillId="0" borderId="0" applyFont="0" applyFill="0" applyBorder="0" applyAlignment="0" applyProtection="0"/>
  </cellStyleXfs>
  <cellXfs count="557">
    <xf numFmtId="0" fontId="0" fillId="0" borderId="0" xfId="0"/>
    <xf numFmtId="0" fontId="5" fillId="5" borderId="18" xfId="0" applyFont="1" applyFill="1" applyBorder="1" applyAlignment="1">
      <alignment horizontal="center" vertical="center" textRotation="90" wrapText="1"/>
    </xf>
    <xf numFmtId="0" fontId="5" fillId="5" borderId="0" xfId="0" applyFont="1" applyFill="1" applyAlignment="1">
      <alignment horizontal="center" vertical="center" textRotation="90" wrapText="1"/>
    </xf>
    <xf numFmtId="0" fontId="5" fillId="5" borderId="3" xfId="0" applyFont="1" applyFill="1" applyBorder="1" applyAlignment="1">
      <alignment horizontal="center" vertical="center" textRotation="90" wrapText="1"/>
    </xf>
    <xf numFmtId="0" fontId="0" fillId="0" borderId="0" xfId="0" applyAlignment="1">
      <alignment vertical="top" wrapText="1"/>
    </xf>
    <xf numFmtId="0" fontId="0" fillId="0" borderId="0" xfId="0" applyAlignment="1">
      <alignment wrapText="1"/>
    </xf>
    <xf numFmtId="0" fontId="0" fillId="5" borderId="0" xfId="0" applyFill="1"/>
    <xf numFmtId="164" fontId="0" fillId="0" borderId="0" xfId="0" applyNumberFormat="1"/>
    <xf numFmtId="0" fontId="6" fillId="5" borderId="18" xfId="0" applyFont="1" applyFill="1" applyBorder="1" applyAlignment="1">
      <alignment vertical="center" wrapText="1"/>
    </xf>
    <xf numFmtId="0" fontId="6" fillId="5" borderId="0" xfId="0" applyFont="1" applyFill="1" applyAlignment="1">
      <alignment vertical="top" wrapText="1"/>
    </xf>
    <xf numFmtId="0" fontId="6" fillId="5" borderId="0" xfId="0" applyFont="1" applyFill="1" applyAlignment="1">
      <alignment vertical="center" wrapText="1"/>
    </xf>
    <xf numFmtId="0" fontId="7" fillId="5" borderId="0" xfId="0" applyFont="1" applyFill="1" applyAlignment="1">
      <alignment vertical="center" wrapText="1"/>
    </xf>
    <xf numFmtId="0" fontId="6" fillId="5" borderId="3" xfId="0" applyFont="1" applyFill="1" applyBorder="1" applyAlignment="1">
      <alignment vertical="top" wrapText="1"/>
    </xf>
    <xf numFmtId="0" fontId="0" fillId="5" borderId="0" xfId="0" applyFill="1" applyAlignment="1">
      <alignment horizontal="center"/>
    </xf>
    <xf numFmtId="0" fontId="0" fillId="0" borderId="0" xfId="0" applyAlignment="1">
      <alignment horizontal="center"/>
    </xf>
    <xf numFmtId="0" fontId="21" fillId="5" borderId="0" xfId="1" applyFont="1" applyFill="1" applyAlignment="1">
      <alignment vertical="top"/>
    </xf>
    <xf numFmtId="0" fontId="8" fillId="0" borderId="0" xfId="0" applyFont="1"/>
    <xf numFmtId="0" fontId="8" fillId="0" borderId="0" xfId="0" applyFont="1" applyAlignment="1">
      <alignment horizontal="center" vertical="center"/>
    </xf>
    <xf numFmtId="0" fontId="3" fillId="5" borderId="0" xfId="0" applyFont="1" applyFill="1" applyAlignment="1">
      <alignment horizontal="center" vertical="center" wrapText="1"/>
    </xf>
    <xf numFmtId="0" fontId="0" fillId="0" borderId="0" xfId="0" applyAlignment="1">
      <alignment horizontal="center" vertical="center"/>
    </xf>
    <xf numFmtId="0" fontId="25" fillId="0" borderId="0" xfId="0" applyFont="1"/>
    <xf numFmtId="0" fontId="0" fillId="5" borderId="0" xfId="0" applyFill="1" applyAlignment="1">
      <alignment horizontal="center" vertical="center"/>
    </xf>
    <xf numFmtId="0" fontId="0" fillId="5" borderId="6" xfId="0" applyFill="1" applyBorder="1"/>
    <xf numFmtId="0" fontId="0" fillId="5" borderId="3" xfId="0" applyFill="1" applyBorder="1"/>
    <xf numFmtId="0" fontId="14" fillId="0" borderId="0" xfId="0" applyFont="1"/>
    <xf numFmtId="2" fontId="0" fillId="0" borderId="0" xfId="0" applyNumberFormat="1"/>
    <xf numFmtId="1" fontId="0" fillId="0" borderId="0" xfId="0" applyNumberFormat="1"/>
    <xf numFmtId="0" fontId="0" fillId="0" borderId="0" xfId="0" applyAlignment="1">
      <alignment vertical="center"/>
    </xf>
    <xf numFmtId="0" fontId="2" fillId="2" borderId="0" xfId="0" applyFont="1" applyFill="1"/>
    <xf numFmtId="0" fontId="0" fillId="5" borderId="18" xfId="0" applyFill="1" applyBorder="1" applyAlignment="1">
      <alignment horizontal="center"/>
    </xf>
    <xf numFmtId="0" fontId="3" fillId="5" borderId="0" xfId="0" applyFont="1" applyFill="1" applyAlignment="1">
      <alignment horizontal="left" vertical="center" wrapText="1"/>
    </xf>
    <xf numFmtId="0" fontId="0" fillId="5" borderId="19" xfId="0" applyFill="1" applyBorder="1" applyAlignment="1">
      <alignment horizontal="center"/>
    </xf>
    <xf numFmtId="0" fontId="3" fillId="5" borderId="0" xfId="0" applyFont="1" applyFill="1" applyAlignment="1">
      <alignment vertical="center" wrapText="1"/>
    </xf>
    <xf numFmtId="0" fontId="30" fillId="5" borderId="0" xfId="0" applyFont="1" applyFill="1" applyAlignment="1">
      <alignment horizontal="center" vertical="center"/>
    </xf>
    <xf numFmtId="0" fontId="30" fillId="5" borderId="0" xfId="0" applyFont="1" applyFill="1"/>
    <xf numFmtId="0" fontId="0" fillId="5" borderId="30" xfId="0" applyFill="1" applyBorder="1"/>
    <xf numFmtId="0" fontId="3" fillId="5" borderId="23" xfId="0" applyFont="1" applyFill="1" applyBorder="1"/>
    <xf numFmtId="20" fontId="0" fillId="0" borderId="0" xfId="0" applyNumberFormat="1"/>
    <xf numFmtId="0" fontId="12" fillId="0" borderId="0" xfId="1" applyBorder="1" applyAlignment="1">
      <alignment horizontal="center"/>
    </xf>
    <xf numFmtId="0" fontId="14" fillId="0" borderId="0" xfId="0" applyFont="1" applyAlignment="1">
      <alignment horizontal="center"/>
    </xf>
    <xf numFmtId="0" fontId="0" fillId="0" borderId="0" xfId="0" quotePrefix="1" applyAlignment="1">
      <alignment horizontal="center"/>
    </xf>
    <xf numFmtId="0" fontId="0" fillId="0" borderId="0" xfId="0" applyAlignment="1">
      <alignment vertical="top"/>
    </xf>
    <xf numFmtId="0" fontId="0" fillId="0" borderId="0" xfId="0" applyAlignment="1">
      <alignment horizontal="center" vertical="center" wrapText="1"/>
    </xf>
    <xf numFmtId="0" fontId="14" fillId="10" borderId="0" xfId="0" applyFont="1" applyFill="1"/>
    <xf numFmtId="0" fontId="0" fillId="10" borderId="0" xfId="0" applyFill="1"/>
    <xf numFmtId="0" fontId="3" fillId="5" borderId="6" xfId="0" applyFont="1" applyFill="1" applyBorder="1" applyAlignment="1">
      <alignment horizontal="center" vertical="center" wrapText="1"/>
    </xf>
    <xf numFmtId="0" fontId="0" fillId="5" borderId="0" xfId="0" applyFill="1" applyAlignment="1">
      <alignment horizontal="left" vertical="top"/>
    </xf>
    <xf numFmtId="0" fontId="8" fillId="5" borderId="22" xfId="0" applyFont="1" applyFill="1" applyBorder="1" applyAlignment="1">
      <alignment horizontal="center" vertical="center"/>
    </xf>
    <xf numFmtId="0" fontId="0" fillId="0" borderId="35" xfId="0" applyBorder="1" applyAlignment="1" applyProtection="1">
      <alignment horizontal="center" vertical="center"/>
      <protection locked="0"/>
    </xf>
    <xf numFmtId="0" fontId="3" fillId="5" borderId="5" xfId="0" applyFont="1" applyFill="1" applyBorder="1" applyAlignment="1">
      <alignment horizontal="left" vertical="center" wrapText="1"/>
    </xf>
    <xf numFmtId="0" fontId="0" fillId="0" borderId="3" xfId="0" applyBorder="1"/>
    <xf numFmtId="0" fontId="0" fillId="0" borderId="3" xfId="0" applyBorder="1" applyAlignment="1">
      <alignment vertical="top" wrapText="1"/>
    </xf>
    <xf numFmtId="0" fontId="0" fillId="5" borderId="6" xfId="0" applyFill="1" applyBorder="1" applyAlignment="1">
      <alignment horizontal="left" vertical="top"/>
    </xf>
    <xf numFmtId="0" fontId="3" fillId="5" borderId="31" xfId="0" applyFont="1" applyFill="1" applyBorder="1" applyAlignment="1">
      <alignment vertical="center"/>
    </xf>
    <xf numFmtId="0" fontId="3" fillId="5" borderId="5" xfId="0" applyFont="1" applyFill="1" applyBorder="1" applyAlignment="1">
      <alignment vertical="center" wrapText="1"/>
    </xf>
    <xf numFmtId="0" fontId="3" fillId="5" borderId="5" xfId="0" applyFont="1" applyFill="1" applyBorder="1" applyAlignment="1">
      <alignment vertical="center"/>
    </xf>
    <xf numFmtId="0" fontId="3" fillId="5" borderId="41" xfId="0" applyFont="1" applyFill="1" applyBorder="1" applyAlignment="1">
      <alignment vertical="center"/>
    </xf>
    <xf numFmtId="0" fontId="3" fillId="5" borderId="42" xfId="0" applyFont="1" applyFill="1" applyBorder="1" applyAlignment="1">
      <alignment vertical="center"/>
    </xf>
    <xf numFmtId="0" fontId="3" fillId="5" borderId="30" xfId="0" applyFont="1" applyFill="1" applyBorder="1" applyAlignment="1">
      <alignment horizontal="center" vertical="center" wrapText="1"/>
    </xf>
    <xf numFmtId="0" fontId="8" fillId="5" borderId="0" xfId="0" applyFont="1" applyFill="1" applyAlignment="1">
      <alignment horizontal="center"/>
    </xf>
    <xf numFmtId="0" fontId="8" fillId="5" borderId="0" xfId="0" applyFont="1" applyFill="1" applyAlignment="1">
      <alignment horizontal="left"/>
    </xf>
    <xf numFmtId="0" fontId="8" fillId="5" borderId="18" xfId="0" applyFont="1" applyFill="1" applyBorder="1"/>
    <xf numFmtId="0" fontId="8" fillId="5" borderId="0" xfId="0" applyFont="1" applyFill="1" applyAlignment="1">
      <alignment horizontal="left" vertical="center"/>
    </xf>
    <xf numFmtId="0" fontId="8" fillId="5" borderId="0" xfId="0" applyFont="1" applyFill="1"/>
    <xf numFmtId="0" fontId="8" fillId="5" borderId="3" xfId="0" applyFont="1" applyFill="1" applyBorder="1" applyAlignment="1">
      <alignment horizontal="center"/>
    </xf>
    <xf numFmtId="0" fontId="8" fillId="5" borderId="3" xfId="0" applyFont="1" applyFill="1" applyBorder="1"/>
    <xf numFmtId="0" fontId="8" fillId="0" borderId="3" xfId="0" applyFont="1" applyBorder="1" applyAlignment="1">
      <alignment horizontal="center"/>
    </xf>
    <xf numFmtId="0" fontId="8" fillId="0" borderId="3" xfId="0" applyFont="1" applyBorder="1" applyAlignment="1">
      <alignment horizontal="center" vertical="center"/>
    </xf>
    <xf numFmtId="0" fontId="8" fillId="5" borderId="18" xfId="0" applyFont="1" applyFill="1" applyBorder="1" applyAlignment="1">
      <alignment horizontal="left"/>
    </xf>
    <xf numFmtId="0" fontId="8" fillId="5" borderId="0" xfId="0" applyFont="1" applyFill="1" applyAlignment="1">
      <alignment horizontal="center" vertical="center"/>
    </xf>
    <xf numFmtId="0" fontId="8" fillId="5" borderId="18" xfId="0" applyFont="1" applyFill="1" applyBorder="1" applyAlignment="1">
      <alignment vertical="center"/>
    </xf>
    <xf numFmtId="0" fontId="8" fillId="5" borderId="0" xfId="0" applyFont="1" applyFill="1" applyAlignment="1">
      <alignment vertical="center"/>
    </xf>
    <xf numFmtId="0" fontId="8" fillId="5" borderId="3" xfId="0" applyFont="1" applyFill="1" applyBorder="1" applyAlignment="1">
      <alignment vertical="center"/>
    </xf>
    <xf numFmtId="0" fontId="3" fillId="0" borderId="0" xfId="0" applyFont="1" applyAlignment="1">
      <alignment wrapText="1"/>
    </xf>
    <xf numFmtId="0" fontId="0" fillId="5" borderId="7" xfId="0" applyFill="1" applyBorder="1" applyAlignment="1">
      <alignment horizontal="center" vertical="center"/>
    </xf>
    <xf numFmtId="0" fontId="0" fillId="5" borderId="19" xfId="0" applyFill="1" applyBorder="1"/>
    <xf numFmtId="0" fontId="20" fillId="4" borderId="55" xfId="0" applyFont="1" applyFill="1" applyBorder="1" applyAlignment="1">
      <alignment horizontal="center" vertical="center" textRotation="90"/>
    </xf>
    <xf numFmtId="0" fontId="20" fillId="4" borderId="3" xfId="0" applyFont="1" applyFill="1" applyBorder="1" applyAlignment="1">
      <alignment horizontal="center" vertical="center" textRotation="90"/>
    </xf>
    <xf numFmtId="0" fontId="5" fillId="5" borderId="36" xfId="0" applyFont="1" applyFill="1" applyBorder="1" applyAlignment="1">
      <alignment horizontal="center" vertical="center" textRotation="90" wrapText="1"/>
    </xf>
    <xf numFmtId="0" fontId="0" fillId="5" borderId="3" xfId="0" applyFill="1" applyBorder="1" applyAlignment="1">
      <alignment horizontal="center"/>
    </xf>
    <xf numFmtId="0" fontId="0" fillId="5" borderId="55" xfId="0" applyFill="1" applyBorder="1" applyAlignment="1">
      <alignment wrapText="1"/>
    </xf>
    <xf numFmtId="0" fontId="0" fillId="5" borderId="3" xfId="0" applyFill="1" applyBorder="1" applyAlignment="1">
      <alignment vertical="top" wrapText="1"/>
    </xf>
    <xf numFmtId="0" fontId="8" fillId="5" borderId="18" xfId="0" applyFont="1" applyFill="1" applyBorder="1" applyAlignment="1">
      <alignment horizontal="center" vertical="center"/>
    </xf>
    <xf numFmtId="0" fontId="5" fillId="5" borderId="39" xfId="0" applyFont="1" applyFill="1" applyBorder="1" applyAlignment="1">
      <alignment horizontal="center" vertical="center" textRotation="90" wrapText="1"/>
    </xf>
    <xf numFmtId="0" fontId="27" fillId="0" borderId="0" xfId="0" applyFont="1" applyAlignment="1">
      <alignment vertical="center" wrapText="1"/>
    </xf>
    <xf numFmtId="0" fontId="27" fillId="5" borderId="6" xfId="0" applyFont="1" applyFill="1" applyBorder="1" applyAlignment="1">
      <alignment vertical="center"/>
    </xf>
    <xf numFmtId="0" fontId="10" fillId="4" borderId="3" xfId="0" applyFont="1" applyFill="1" applyBorder="1" applyAlignment="1">
      <alignment vertical="center" textRotation="90" wrapText="1"/>
    </xf>
    <xf numFmtId="0" fontId="27" fillId="0" borderId="71" xfId="0" applyFont="1" applyBorder="1" applyAlignment="1">
      <alignment vertical="center" wrapText="1"/>
    </xf>
    <xf numFmtId="0" fontId="27" fillId="5" borderId="74" xfId="0" applyFont="1" applyFill="1" applyBorder="1" applyAlignment="1">
      <alignment vertical="center"/>
    </xf>
    <xf numFmtId="0" fontId="14" fillId="5" borderId="0" xfId="0" applyFont="1" applyFill="1"/>
    <xf numFmtId="0" fontId="14" fillId="4" borderId="0" xfId="0" applyFont="1" applyFill="1"/>
    <xf numFmtId="0" fontId="0" fillId="4" borderId="0" xfId="0" applyFill="1"/>
    <xf numFmtId="0" fontId="3" fillId="5" borderId="24" xfId="0" applyFont="1" applyFill="1" applyBorder="1" applyAlignment="1">
      <alignment horizontal="left" vertical="center" wrapText="1"/>
    </xf>
    <xf numFmtId="0" fontId="0" fillId="5" borderId="75" xfId="0" applyFill="1" applyBorder="1"/>
    <xf numFmtId="0" fontId="0" fillId="0" borderId="76" xfId="0" applyBorder="1" applyAlignment="1">
      <alignment horizontal="center" vertical="center"/>
    </xf>
    <xf numFmtId="0" fontId="37" fillId="2" borderId="76" xfId="0" applyFont="1" applyFill="1" applyBorder="1" applyAlignment="1">
      <alignment horizontal="center" vertical="center"/>
    </xf>
    <xf numFmtId="0" fontId="37" fillId="12" borderId="76" xfId="0" applyFont="1" applyFill="1" applyBorder="1" applyAlignment="1">
      <alignment horizontal="center" vertical="center"/>
    </xf>
    <xf numFmtId="0" fontId="0" fillId="0" borderId="77" xfId="0" applyBorder="1" applyAlignment="1" applyProtection="1">
      <alignment horizontal="center" vertical="center"/>
      <protection locked="0"/>
    </xf>
    <xf numFmtId="0" fontId="37" fillId="2" borderId="77" xfId="0" applyFont="1" applyFill="1" applyBorder="1" applyAlignment="1" applyProtection="1">
      <alignment horizontal="center" vertical="center"/>
      <protection locked="0"/>
    </xf>
    <xf numFmtId="0" fontId="37" fillId="12" borderId="77" xfId="0" applyFont="1" applyFill="1" applyBorder="1" applyAlignment="1" applyProtection="1">
      <alignment horizontal="center" vertical="center"/>
      <protection locked="0"/>
    </xf>
    <xf numFmtId="0" fontId="37" fillId="4" borderId="77" xfId="0" applyFont="1" applyFill="1" applyBorder="1" applyAlignment="1" applyProtection="1">
      <alignment horizontal="center" vertical="center"/>
      <protection locked="0"/>
    </xf>
    <xf numFmtId="1" fontId="0" fillId="0" borderId="71" xfId="0" applyNumberFormat="1" applyBorder="1" applyProtection="1">
      <protection locked="0"/>
    </xf>
    <xf numFmtId="0" fontId="0" fillId="0" borderId="54" xfId="0" applyBorder="1" applyAlignment="1" applyProtection="1">
      <alignment horizontal="center" vertical="center"/>
      <protection locked="0"/>
    </xf>
    <xf numFmtId="0" fontId="0" fillId="0" borderId="77" xfId="0" applyBorder="1"/>
    <xf numFmtId="0" fontId="0" fillId="5" borderId="76" xfId="0" applyFill="1" applyBorder="1"/>
    <xf numFmtId="0" fontId="0" fillId="4" borderId="80" xfId="0" applyFill="1" applyBorder="1"/>
    <xf numFmtId="0" fontId="0" fillId="4" borderId="81" xfId="0" applyFill="1" applyBorder="1" applyAlignment="1">
      <alignment wrapText="1"/>
    </xf>
    <xf numFmtId="0" fontId="0" fillId="4" borderId="0" xfId="0" applyFill="1" applyAlignment="1">
      <alignment wrapText="1"/>
    </xf>
    <xf numFmtId="0" fontId="0" fillId="4" borderId="82" xfId="0" applyFill="1" applyBorder="1"/>
    <xf numFmtId="0" fontId="0" fillId="4" borderId="83" xfId="0" applyFill="1" applyBorder="1"/>
    <xf numFmtId="0" fontId="0" fillId="4" borderId="84" xfId="0" applyFill="1" applyBorder="1"/>
    <xf numFmtId="0" fontId="0" fillId="4" borderId="85" xfId="0" applyFill="1" applyBorder="1"/>
    <xf numFmtId="2" fontId="0" fillId="0" borderId="75" xfId="0" applyNumberFormat="1" applyBorder="1" applyProtection="1">
      <protection locked="0"/>
    </xf>
    <xf numFmtId="2" fontId="0" fillId="0" borderId="65" xfId="0" applyNumberFormat="1" applyBorder="1" applyProtection="1">
      <protection locked="0"/>
    </xf>
    <xf numFmtId="0" fontId="0" fillId="0" borderId="8" xfId="0" applyBorder="1" applyAlignment="1" applyProtection="1">
      <alignment horizontal="center" vertical="center"/>
      <protection locked="0"/>
    </xf>
    <xf numFmtId="0" fontId="3" fillId="5" borderId="19" xfId="0" applyFont="1" applyFill="1" applyBorder="1" applyAlignment="1">
      <alignment horizontal="left" vertical="center" wrapText="1"/>
    </xf>
    <xf numFmtId="0" fontId="0" fillId="5" borderId="23" xfId="0" applyFill="1" applyBorder="1" applyAlignment="1">
      <alignment horizontal="left" vertical="center"/>
    </xf>
    <xf numFmtId="0" fontId="14" fillId="0" borderId="0" xfId="0" applyFont="1" applyProtection="1">
      <protection locked="0"/>
    </xf>
    <xf numFmtId="0" fontId="0" fillId="0" borderId="0" xfId="0" applyProtection="1">
      <protection locked="0"/>
    </xf>
    <xf numFmtId="0" fontId="14" fillId="10" borderId="0" xfId="0" applyFont="1" applyFill="1" applyProtection="1">
      <protection locked="0"/>
    </xf>
    <xf numFmtId="0" fontId="0" fillId="0" borderId="0" xfId="0" applyAlignment="1" applyProtection="1">
      <alignment horizontal="center" vertical="center"/>
      <protection locked="0"/>
    </xf>
    <xf numFmtId="0" fontId="0" fillId="10" borderId="0" xfId="0" applyFill="1" applyProtection="1">
      <protection locked="0"/>
    </xf>
    <xf numFmtId="0" fontId="0" fillId="0" borderId="0" xfId="0" applyAlignment="1" applyProtection="1">
      <alignment horizontal="center"/>
      <protection locked="0"/>
    </xf>
    <xf numFmtId="0" fontId="0" fillId="0" borderId="0" xfId="0" applyAlignment="1" applyProtection="1">
      <alignment vertical="center" wrapText="1"/>
      <protection locked="0"/>
    </xf>
    <xf numFmtId="0" fontId="5" fillId="3" borderId="17" xfId="0" applyFont="1" applyFill="1" applyBorder="1" applyAlignment="1">
      <alignment vertical="center" textRotation="90" wrapText="1"/>
    </xf>
    <xf numFmtId="0" fontId="3" fillId="5" borderId="0" xfId="0" applyFont="1" applyFill="1" applyAlignment="1">
      <alignment vertical="center"/>
    </xf>
    <xf numFmtId="0" fontId="20" fillId="4" borderId="71" xfId="0" applyFont="1" applyFill="1" applyBorder="1" applyAlignment="1">
      <alignment horizontal="center" vertical="center" textRotation="90"/>
    </xf>
    <xf numFmtId="1" fontId="0" fillId="0" borderId="71" xfId="0" applyNumberFormat="1" applyBorder="1"/>
    <xf numFmtId="0" fontId="0" fillId="5" borderId="65" xfId="0" applyFill="1" applyBorder="1"/>
    <xf numFmtId="165" fontId="0" fillId="5" borderId="65" xfId="0" applyNumberFormat="1" applyFill="1" applyBorder="1"/>
    <xf numFmtId="0" fontId="0" fillId="5" borderId="71" xfId="0" applyFill="1" applyBorder="1"/>
    <xf numFmtId="165" fontId="0" fillId="5" borderId="71" xfId="0" applyNumberFormat="1" applyFill="1" applyBorder="1"/>
    <xf numFmtId="49" fontId="0" fillId="5" borderId="71" xfId="0" applyNumberFormat="1" applyFill="1" applyBorder="1"/>
    <xf numFmtId="49" fontId="0" fillId="5" borderId="0" xfId="0" applyNumberFormat="1" applyFill="1"/>
    <xf numFmtId="166" fontId="0" fillId="0" borderId="0" xfId="0" applyNumberFormat="1"/>
    <xf numFmtId="0" fontId="0" fillId="5" borderId="5" xfId="0" applyFill="1" applyBorder="1" applyAlignment="1">
      <alignment horizontal="center"/>
    </xf>
    <xf numFmtId="0" fontId="0" fillId="0" borderId="35" xfId="0" applyBorder="1" applyProtection="1">
      <protection locked="0"/>
    </xf>
    <xf numFmtId="0" fontId="0" fillId="0" borderId="35" xfId="0" applyBorder="1" applyAlignment="1" applyProtection="1">
      <alignment horizontal="center"/>
      <protection locked="0"/>
    </xf>
    <xf numFmtId="0" fontId="0" fillId="0" borderId="0" xfId="0" applyAlignment="1" applyProtection="1">
      <alignment vertical="center"/>
      <protection locked="0"/>
    </xf>
    <xf numFmtId="0" fontId="0" fillId="5" borderId="0" xfId="0" applyFill="1" applyAlignment="1">
      <alignment horizontal="left" vertical="center"/>
    </xf>
    <xf numFmtId="0" fontId="0" fillId="5" borderId="0" xfId="0" applyFill="1" applyAlignment="1">
      <alignment vertical="center"/>
    </xf>
    <xf numFmtId="0" fontId="8" fillId="5" borderId="18" xfId="0" applyFont="1" applyFill="1" applyBorder="1" applyAlignment="1">
      <alignment horizontal="left" vertical="center"/>
    </xf>
    <xf numFmtId="0" fontId="8" fillId="5" borderId="3" xfId="0" applyFont="1" applyFill="1" applyBorder="1" applyAlignment="1">
      <alignment horizontal="left" vertical="center"/>
    </xf>
    <xf numFmtId="0" fontId="0" fillId="0" borderId="0" xfId="0" applyAlignment="1">
      <alignment horizontal="right"/>
    </xf>
    <xf numFmtId="14" fontId="0" fillId="0" borderId="8" xfId="0" applyNumberFormat="1" applyBorder="1" applyAlignment="1">
      <alignment horizontal="right"/>
    </xf>
    <xf numFmtId="14" fontId="0" fillId="0" borderId="10" xfId="0" applyNumberFormat="1" applyBorder="1" applyAlignment="1">
      <alignment horizontal="right"/>
    </xf>
    <xf numFmtId="0" fontId="42" fillId="14" borderId="93" xfId="0" applyFont="1" applyFill="1" applyBorder="1" applyAlignment="1" applyProtection="1">
      <alignment horizontal="center" vertical="center" wrapText="1"/>
      <protection locked="0"/>
    </xf>
    <xf numFmtId="0" fontId="42" fillId="14" borderId="94" xfId="0" applyFont="1" applyFill="1" applyBorder="1" applyAlignment="1" applyProtection="1">
      <alignment horizontal="center" vertical="center" wrapText="1"/>
      <protection locked="0"/>
    </xf>
    <xf numFmtId="0" fontId="3" fillId="5" borderId="75" xfId="0" applyFont="1" applyFill="1" applyBorder="1" applyAlignment="1">
      <alignment vertical="center"/>
    </xf>
    <xf numFmtId="0" fontId="3" fillId="5" borderId="6" xfId="0" applyFont="1" applyFill="1" applyBorder="1" applyAlignment="1">
      <alignment vertical="center"/>
    </xf>
    <xf numFmtId="0" fontId="3" fillId="5" borderId="74" xfId="0" applyFont="1" applyFill="1" applyBorder="1" applyAlignment="1">
      <alignment vertical="center"/>
    </xf>
    <xf numFmtId="3" fontId="8" fillId="0" borderId="35" xfId="0" applyNumberFormat="1" applyFont="1" applyBorder="1" applyAlignment="1" applyProtection="1">
      <alignment horizontal="center" vertical="center"/>
      <protection locked="0"/>
    </xf>
    <xf numFmtId="3" fontId="8" fillId="6" borderId="50" xfId="0" applyNumberFormat="1" applyFont="1" applyFill="1" applyBorder="1" applyAlignment="1" applyProtection="1">
      <alignment horizontal="center" vertical="center"/>
      <protection locked="0"/>
    </xf>
    <xf numFmtId="3" fontId="8" fillId="5" borderId="3" xfId="0" applyNumberFormat="1" applyFont="1" applyFill="1" applyBorder="1"/>
    <xf numFmtId="0" fontId="0" fillId="0" borderId="57" xfId="0" applyBorder="1" applyAlignment="1" applyProtection="1">
      <alignment horizontal="center" vertical="center"/>
      <protection locked="0"/>
    </xf>
    <xf numFmtId="0" fontId="0" fillId="0" borderId="58" xfId="0" applyBorder="1" applyAlignment="1" applyProtection="1">
      <alignment horizontal="center" vertical="center"/>
      <protection locked="0"/>
    </xf>
    <xf numFmtId="0" fontId="8" fillId="5" borderId="71" xfId="0" applyFont="1" applyFill="1" applyBorder="1"/>
    <xf numFmtId="0" fontId="8" fillId="5" borderId="67" xfId="0" applyFont="1" applyFill="1" applyBorder="1" applyAlignment="1">
      <alignment horizontal="left"/>
    </xf>
    <xf numFmtId="0" fontId="8" fillId="5" borderId="67" xfId="0" applyFont="1" applyFill="1" applyBorder="1"/>
    <xf numFmtId="0" fontId="42" fillId="14" borderId="100" xfId="0" applyFont="1" applyFill="1" applyBorder="1" applyAlignment="1" applyProtection="1">
      <alignment horizontal="center" vertical="center" wrapText="1"/>
      <protection locked="0"/>
    </xf>
    <xf numFmtId="0" fontId="36" fillId="12" borderId="95" xfId="0" applyFont="1" applyFill="1" applyBorder="1"/>
    <xf numFmtId="0" fontId="36" fillId="12" borderId="90" xfId="0" applyFont="1" applyFill="1" applyBorder="1"/>
    <xf numFmtId="0" fontId="36" fillId="12" borderId="92" xfId="0" applyFont="1" applyFill="1" applyBorder="1"/>
    <xf numFmtId="0" fontId="14" fillId="4" borderId="96" xfId="0" applyFont="1" applyFill="1" applyBorder="1"/>
    <xf numFmtId="0" fontId="0" fillId="4" borderId="93" xfId="0" applyFill="1" applyBorder="1"/>
    <xf numFmtId="0" fontId="0" fillId="5" borderId="96" xfId="0" applyFill="1" applyBorder="1"/>
    <xf numFmtId="0" fontId="0" fillId="4" borderId="93" xfId="0" applyFill="1" applyBorder="1" applyAlignment="1">
      <alignment horizontal="right"/>
    </xf>
    <xf numFmtId="0" fontId="14" fillId="5" borderId="96" xfId="0" applyFont="1" applyFill="1" applyBorder="1"/>
    <xf numFmtId="0" fontId="0" fillId="5" borderId="93" xfId="0" applyFill="1" applyBorder="1" applyAlignment="1">
      <alignment horizontal="right"/>
    </xf>
    <xf numFmtId="0" fontId="0" fillId="0" borderId="96" xfId="0" applyBorder="1"/>
    <xf numFmtId="0" fontId="0" fillId="0" borderId="93" xfId="0" applyBorder="1" applyAlignment="1">
      <alignment horizontal="right"/>
    </xf>
    <xf numFmtId="0" fontId="0" fillId="5" borderId="93" xfId="0" applyFill="1" applyBorder="1"/>
    <xf numFmtId="0" fontId="39" fillId="0" borderId="93" xfId="0" applyFont="1" applyBorder="1" applyAlignment="1">
      <alignment horizontal="center"/>
    </xf>
    <xf numFmtId="0" fontId="42" fillId="0" borderId="93" xfId="0" applyFont="1" applyBorder="1" applyAlignment="1">
      <alignment horizontal="center" vertical="center"/>
    </xf>
    <xf numFmtId="0" fontId="0" fillId="0" borderId="93" xfId="0" applyBorder="1"/>
    <xf numFmtId="0" fontId="39" fillId="0" borderId="96" xfId="0" applyFont="1" applyBorder="1"/>
    <xf numFmtId="0" fontId="39" fillId="0" borderId="96" xfId="0" applyFont="1" applyBorder="1" applyAlignment="1">
      <alignment vertical="center"/>
    </xf>
    <xf numFmtId="0" fontId="39" fillId="0" borderId="96" xfId="0" applyFont="1" applyBorder="1" applyAlignment="1">
      <alignment vertical="top"/>
    </xf>
    <xf numFmtId="0" fontId="1" fillId="0" borderId="0" xfId="0" applyFont="1"/>
    <xf numFmtId="0" fontId="14" fillId="5" borderId="93" xfId="0" applyFont="1" applyFill="1" applyBorder="1"/>
    <xf numFmtId="0" fontId="14" fillId="4" borderId="93" xfId="0" applyFont="1" applyFill="1" applyBorder="1" applyAlignment="1">
      <alignment horizontal="right"/>
    </xf>
    <xf numFmtId="0" fontId="41" fillId="0" borderId="96" xfId="0" applyFont="1" applyBorder="1" applyAlignment="1">
      <alignment horizontal="right"/>
    </xf>
    <xf numFmtId="0" fontId="41" fillId="0" borderId="93" xfId="0" applyFont="1" applyBorder="1"/>
    <xf numFmtId="0" fontId="0" fillId="5" borderId="0" xfId="0" applyFill="1" applyAlignment="1">
      <alignment horizontal="left"/>
    </xf>
    <xf numFmtId="0" fontId="0" fillId="0" borderId="0" xfId="0" applyAlignment="1">
      <alignment horizontal="left"/>
    </xf>
    <xf numFmtId="0" fontId="39" fillId="0" borderId="0" xfId="0" applyFont="1" applyAlignment="1">
      <alignment horizontal="center"/>
    </xf>
    <xf numFmtId="0" fontId="41" fillId="0" borderId="0" xfId="0" applyFont="1" applyAlignment="1">
      <alignment horizontal="center"/>
    </xf>
    <xf numFmtId="0" fontId="41" fillId="0" borderId="0" xfId="0" applyFont="1"/>
    <xf numFmtId="3" fontId="41" fillId="0" borderId="0" xfId="0" applyNumberFormat="1" applyFont="1" applyAlignment="1">
      <alignment horizontal="right"/>
    </xf>
    <xf numFmtId="0" fontId="42" fillId="0" borderId="0" xfId="0" applyFont="1" applyAlignment="1">
      <alignment horizontal="center" vertical="center"/>
    </xf>
    <xf numFmtId="0" fontId="43" fillId="0" borderId="0" xfId="0" applyFont="1"/>
    <xf numFmtId="0" fontId="14" fillId="4" borderId="93" xfId="0" applyFont="1" applyFill="1" applyBorder="1"/>
    <xf numFmtId="0" fontId="14" fillId="10" borderId="0" xfId="0" applyFont="1" applyFill="1" applyAlignment="1" applyProtection="1">
      <alignment horizontal="left"/>
      <protection locked="0"/>
    </xf>
    <xf numFmtId="0" fontId="0" fillId="11" borderId="0" xfId="0" applyFill="1" applyProtection="1">
      <protection locked="0"/>
    </xf>
    <xf numFmtId="0" fontId="0" fillId="11" borderId="0" xfId="0" applyFill="1" applyAlignment="1" applyProtection="1">
      <alignment horizontal="center"/>
      <protection locked="0"/>
    </xf>
    <xf numFmtId="0" fontId="0" fillId="0" borderId="56" xfId="0" applyBorder="1" applyProtection="1">
      <protection locked="0"/>
    </xf>
    <xf numFmtId="0" fontId="0" fillId="0" borderId="58" xfId="0" applyBorder="1" applyProtection="1">
      <protection locked="0"/>
    </xf>
    <xf numFmtId="0" fontId="0" fillId="0" borderId="53" xfId="0" applyBorder="1" applyProtection="1">
      <protection locked="0"/>
    </xf>
    <xf numFmtId="0" fontId="0" fillId="0" borderId="1" xfId="0" applyBorder="1" applyAlignment="1" applyProtection="1">
      <alignment horizontal="center" vertical="center"/>
      <protection locked="0"/>
    </xf>
    <xf numFmtId="0" fontId="0" fillId="0" borderId="54" xfId="0" applyBorder="1" applyProtection="1">
      <protection locked="0"/>
    </xf>
    <xf numFmtId="0" fontId="0" fillId="0" borderId="65" xfId="0" applyBorder="1" applyProtection="1">
      <protection locked="0"/>
    </xf>
    <xf numFmtId="0" fontId="0" fillId="0" borderId="57" xfId="0" applyBorder="1" applyProtection="1">
      <protection locked="0"/>
    </xf>
    <xf numFmtId="0" fontId="0" fillId="0" borderId="1" xfId="0" applyBorder="1" applyProtection="1">
      <protection locked="0"/>
    </xf>
    <xf numFmtId="0" fontId="36" fillId="12" borderId="0" xfId="0" applyFont="1" applyFill="1" applyProtection="1">
      <protection locked="0"/>
    </xf>
    <xf numFmtId="0" fontId="14" fillId="4" borderId="0" xfId="0" applyFont="1" applyFill="1" applyProtection="1">
      <protection locked="0"/>
    </xf>
    <xf numFmtId="0" fontId="14" fillId="5" borderId="0" xfId="0" applyFont="1" applyFill="1" applyProtection="1">
      <protection locked="0"/>
    </xf>
    <xf numFmtId="3" fontId="0" fillId="0" borderId="0" xfId="0" applyNumberFormat="1" applyProtection="1">
      <protection locked="0"/>
    </xf>
    <xf numFmtId="2" fontId="0" fillId="0" borderId="0" xfId="0" applyNumberFormat="1" applyProtection="1">
      <protection locked="0"/>
    </xf>
    <xf numFmtId="1" fontId="0" fillId="0" borderId="0" xfId="0" applyNumberFormat="1" applyProtection="1">
      <protection locked="0"/>
    </xf>
    <xf numFmtId="167" fontId="0" fillId="0" borderId="0" xfId="2" applyNumberFormat="1" applyFont="1" applyProtection="1">
      <protection locked="0"/>
    </xf>
    <xf numFmtId="0" fontId="0" fillId="0" borderId="96" xfId="0" applyBorder="1" applyProtection="1">
      <protection locked="0"/>
    </xf>
    <xf numFmtId="0" fontId="14" fillId="0" borderId="0" xfId="0" applyFont="1" applyAlignment="1">
      <alignment horizontal="center"/>
    </xf>
    <xf numFmtId="0" fontId="14" fillId="0" borderId="0" xfId="0" applyFont="1" applyAlignment="1">
      <alignment horizontal="center" vertical="top" wrapText="1"/>
    </xf>
    <xf numFmtId="0" fontId="34" fillId="0" borderId="0" xfId="0" applyFont="1" applyAlignment="1">
      <alignment horizontal="center" vertical="top" wrapText="1" readingOrder="1"/>
    </xf>
    <xf numFmtId="0" fontId="0" fillId="0" borderId="0" xfId="0" applyAlignment="1">
      <alignment horizontal="center"/>
    </xf>
    <xf numFmtId="0" fontId="32" fillId="5" borderId="18" xfId="0" applyFont="1" applyFill="1" applyBorder="1" applyAlignment="1">
      <alignment horizontal="justify" vertical="center" wrapText="1"/>
    </xf>
    <xf numFmtId="0" fontId="32" fillId="5" borderId="0" xfId="0" applyFont="1" applyFill="1" applyAlignment="1">
      <alignment horizontal="justify" vertical="center" wrapText="1"/>
    </xf>
    <xf numFmtId="0" fontId="0" fillId="0" borderId="0" xfId="0" applyAlignment="1">
      <alignment horizontal="center" vertical="top" wrapText="1"/>
    </xf>
    <xf numFmtId="0" fontId="13" fillId="5" borderId="0" xfId="1" applyFont="1" applyFill="1" applyAlignment="1">
      <alignment horizontal="left" vertical="top"/>
    </xf>
    <xf numFmtId="0" fontId="3" fillId="5" borderId="0" xfId="0" applyFont="1" applyFill="1" applyAlignment="1">
      <alignment horizontal="left" vertical="center" wrapText="1"/>
    </xf>
    <xf numFmtId="0" fontId="3" fillId="5" borderId="3" xfId="0" applyFont="1" applyFill="1" applyBorder="1" applyAlignment="1">
      <alignment horizontal="left" vertical="center" wrapText="1"/>
    </xf>
    <xf numFmtId="0" fontId="3" fillId="0" borderId="8" xfId="0"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5" borderId="4" xfId="0" applyFont="1" applyFill="1" applyBorder="1" applyAlignment="1">
      <alignment horizontal="center" vertical="center" wrapText="1"/>
    </xf>
    <xf numFmtId="0" fontId="3" fillId="5" borderId="16" xfId="0" applyFont="1" applyFill="1" applyBorder="1" applyAlignment="1">
      <alignment horizontal="center" vertical="center" wrapText="1"/>
    </xf>
    <xf numFmtId="0" fontId="0" fillId="6" borderId="8" xfId="0" applyFill="1" applyBorder="1" applyAlignment="1" applyProtection="1">
      <alignment horizontal="center" vertical="center"/>
      <protection locked="0"/>
    </xf>
    <xf numFmtId="0" fontId="0" fillId="6" borderId="9" xfId="0" applyFill="1" applyBorder="1" applyAlignment="1" applyProtection="1">
      <alignment horizontal="center" vertical="center"/>
      <protection locked="0"/>
    </xf>
    <xf numFmtId="0" fontId="0" fillId="6" borderId="10" xfId="0" applyFill="1" applyBorder="1" applyAlignment="1" applyProtection="1">
      <alignment horizontal="center" vertical="center"/>
      <protection locked="0"/>
    </xf>
    <xf numFmtId="0" fontId="4" fillId="3" borderId="17" xfId="0" applyFont="1" applyFill="1" applyBorder="1" applyAlignment="1">
      <alignment horizontal="center" vertical="center" textRotation="90"/>
    </xf>
    <xf numFmtId="0" fontId="4" fillId="3" borderId="7" xfId="0" applyFont="1" applyFill="1" applyBorder="1" applyAlignment="1">
      <alignment horizontal="center" vertical="center" textRotation="90"/>
    </xf>
    <xf numFmtId="0" fontId="4" fillId="3" borderId="21" xfId="0" applyFont="1" applyFill="1" applyBorder="1" applyAlignment="1">
      <alignment horizontal="center" vertical="center" textRotation="90"/>
    </xf>
    <xf numFmtId="0" fontId="5" fillId="3" borderId="18" xfId="0" applyFont="1" applyFill="1" applyBorder="1" applyAlignment="1">
      <alignment horizontal="center" vertical="center" textRotation="90" wrapText="1"/>
    </xf>
    <xf numFmtId="0" fontId="5" fillId="3" borderId="0" xfId="0" applyFont="1" applyFill="1" applyAlignment="1">
      <alignment horizontal="center" vertical="center" textRotation="90" wrapText="1"/>
    </xf>
    <xf numFmtId="0" fontId="3" fillId="5" borderId="5"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66" xfId="0" applyFont="1" applyFill="1" applyBorder="1" applyAlignment="1">
      <alignment horizontal="center" vertical="center" wrapText="1"/>
    </xf>
    <xf numFmtId="0" fontId="3" fillId="5" borderId="5" xfId="0" applyFont="1" applyFill="1" applyBorder="1" applyAlignment="1">
      <alignment horizontal="center" vertical="center"/>
    </xf>
    <xf numFmtId="0" fontId="3" fillId="5" borderId="66"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70" xfId="0" applyFont="1" applyFill="1" applyBorder="1" applyAlignment="1">
      <alignment horizontal="center" vertical="center"/>
    </xf>
    <xf numFmtId="0" fontId="3" fillId="5" borderId="69" xfId="0" applyFont="1" applyFill="1" applyBorder="1" applyAlignment="1">
      <alignment horizontal="center" vertical="center"/>
    </xf>
    <xf numFmtId="0" fontId="0" fillId="5" borderId="0" xfId="0" applyFill="1" applyAlignment="1">
      <alignment horizontal="center" vertical="center"/>
    </xf>
    <xf numFmtId="0" fontId="0" fillId="5" borderId="73" xfId="0" applyFill="1" applyBorder="1" applyAlignment="1">
      <alignment horizontal="center" vertical="center"/>
    </xf>
    <xf numFmtId="0" fontId="3" fillId="6" borderId="56" xfId="0" applyFont="1" applyFill="1" applyBorder="1" applyAlignment="1">
      <alignment horizontal="left" vertical="center" wrapText="1"/>
    </xf>
    <xf numFmtId="0" fontId="3" fillId="6" borderId="57" xfId="0" applyFont="1" applyFill="1" applyBorder="1" applyAlignment="1">
      <alignment horizontal="left" vertical="center" wrapText="1"/>
    </xf>
    <xf numFmtId="0" fontId="3" fillId="6" borderId="58" xfId="0" applyFont="1" applyFill="1" applyBorder="1" applyAlignment="1">
      <alignment horizontal="left" vertical="center" wrapText="1"/>
    </xf>
    <xf numFmtId="0" fontId="30" fillId="5" borderId="0" xfId="0" applyFont="1" applyFill="1" applyAlignment="1">
      <alignment horizontal="center"/>
    </xf>
    <xf numFmtId="0" fontId="0" fillId="0" borderId="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05"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107" xfId="0" applyBorder="1" applyAlignment="1" applyProtection="1">
      <alignment horizontal="center" vertical="center"/>
      <protection locked="0"/>
    </xf>
    <xf numFmtId="0" fontId="0" fillId="5" borderId="8" xfId="0" applyFill="1" applyBorder="1" applyAlignment="1">
      <alignment horizontal="center" vertical="center"/>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30" fillId="5" borderId="0" xfId="0" applyFont="1" applyFill="1" applyAlignment="1">
      <alignment horizontal="center" vertical="center"/>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0" xfId="0" applyFont="1" applyFill="1" applyAlignment="1">
      <alignment horizontal="center" vertical="center" wrapText="1"/>
    </xf>
    <xf numFmtId="0" fontId="3" fillId="5" borderId="6"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0" borderId="13"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48" xfId="0" applyFont="1" applyBorder="1" applyAlignment="1" applyProtection="1">
      <alignment horizontal="center" vertical="center" wrapText="1"/>
      <protection locked="0"/>
    </xf>
    <xf numFmtId="0" fontId="3" fillId="0" borderId="49" xfId="0" applyFont="1" applyBorder="1" applyAlignment="1" applyProtection="1">
      <alignment horizontal="center" vertical="center" wrapText="1"/>
      <protection locked="0"/>
    </xf>
    <xf numFmtId="0" fontId="3" fillId="5" borderId="18" xfId="0" applyFont="1" applyFill="1" applyBorder="1" applyAlignment="1">
      <alignment horizontal="left" vertical="center" wrapText="1"/>
    </xf>
    <xf numFmtId="0" fontId="5" fillId="3" borderId="17" xfId="0" applyFont="1" applyFill="1" applyBorder="1" applyAlignment="1">
      <alignment horizontal="center" vertical="center" textRotation="90" wrapText="1"/>
    </xf>
    <xf numFmtId="0" fontId="5" fillId="3" borderId="7" xfId="0" applyFont="1" applyFill="1" applyBorder="1" applyAlignment="1">
      <alignment horizontal="center" vertical="center" textRotation="90" wrapText="1"/>
    </xf>
    <xf numFmtId="0" fontId="5" fillId="3" borderId="21" xfId="0" applyFont="1" applyFill="1" applyBorder="1" applyAlignment="1">
      <alignment horizontal="center" vertical="center" textRotation="90" wrapText="1"/>
    </xf>
    <xf numFmtId="0" fontId="5" fillId="3" borderId="3" xfId="0" applyFont="1" applyFill="1" applyBorder="1" applyAlignment="1">
      <alignment horizontal="center" vertical="center" textRotation="90" wrapText="1"/>
    </xf>
    <xf numFmtId="0" fontId="6" fillId="5" borderId="18" xfId="0" applyFont="1" applyFill="1" applyBorder="1" applyAlignment="1">
      <alignment horizontal="center" vertical="center" wrapText="1"/>
    </xf>
    <xf numFmtId="0" fontId="6" fillId="5" borderId="0" xfId="0" applyFont="1" applyFill="1" applyAlignment="1">
      <alignment horizontal="center" vertical="center" wrapText="1"/>
    </xf>
    <xf numFmtId="0" fontId="6" fillId="5" borderId="3" xfId="0" applyFont="1" applyFill="1" applyBorder="1" applyAlignment="1">
      <alignment horizontal="center" vertical="center" wrapText="1"/>
    </xf>
    <xf numFmtId="0" fontId="3" fillId="5" borderId="0" xfId="0" applyFont="1" applyFill="1" applyAlignment="1">
      <alignment horizontal="center" vertical="top"/>
    </xf>
    <xf numFmtId="0" fontId="8" fillId="5" borderId="20" xfId="0" applyFont="1" applyFill="1" applyBorder="1" applyAlignment="1">
      <alignment horizontal="left" vertical="center"/>
    </xf>
    <xf numFmtId="0" fontId="3" fillId="5" borderId="5" xfId="0" applyFont="1" applyFill="1" applyBorder="1" applyAlignment="1">
      <alignment horizontal="left" vertical="top" wrapText="1"/>
    </xf>
    <xf numFmtId="0" fontId="25" fillId="0" borderId="0" xfId="0" applyFont="1" applyAlignment="1">
      <alignment horizontal="center"/>
    </xf>
    <xf numFmtId="0" fontId="3" fillId="5" borderId="0" xfId="0" applyFont="1" applyFill="1" applyAlignment="1">
      <alignment horizontal="left" vertical="top" wrapText="1"/>
    </xf>
    <xf numFmtId="0" fontId="8" fillId="5" borderId="31" xfId="0" applyFont="1" applyFill="1" applyBorder="1" applyAlignment="1">
      <alignment horizontal="center" vertical="center"/>
    </xf>
    <xf numFmtId="0" fontId="8" fillId="5" borderId="24" xfId="0" applyFont="1" applyFill="1" applyBorder="1" applyAlignment="1">
      <alignment horizontal="center" vertical="center"/>
    </xf>
    <xf numFmtId="0" fontId="8" fillId="0" borderId="37" xfId="0" applyFont="1" applyBorder="1" applyAlignment="1">
      <alignment horizontal="left" vertical="center"/>
    </xf>
    <xf numFmtId="0" fontId="8" fillId="0" borderId="52" xfId="0" applyFont="1" applyBorder="1" applyAlignment="1">
      <alignment horizontal="left" vertical="center"/>
    </xf>
    <xf numFmtId="0" fontId="8" fillId="0" borderId="56" xfId="0" applyFont="1" applyBorder="1" applyAlignment="1">
      <alignment horizontal="left" vertical="center"/>
    </xf>
    <xf numFmtId="0" fontId="8" fillId="0" borderId="57" xfId="0" applyFont="1" applyBorder="1" applyAlignment="1">
      <alignment horizontal="left" vertical="center"/>
    </xf>
    <xf numFmtId="0" fontId="8" fillId="0" borderId="58" xfId="0" applyFont="1" applyBorder="1" applyAlignment="1">
      <alignment horizontal="left" vertical="center"/>
    </xf>
    <xf numFmtId="0" fontId="6" fillId="5" borderId="0" xfId="0" applyFont="1" applyFill="1" applyAlignment="1">
      <alignment horizontal="left" vertical="top" wrapText="1"/>
    </xf>
    <xf numFmtId="49" fontId="29" fillId="0" borderId="35" xfId="0" applyNumberFormat="1" applyFont="1" applyBorder="1" applyAlignment="1" applyProtection="1">
      <alignment horizontal="left" vertical="top" wrapText="1"/>
      <protection locked="0"/>
    </xf>
    <xf numFmtId="49" fontId="29" fillId="0" borderId="13" xfId="0" applyNumberFormat="1" applyFont="1" applyBorder="1" applyAlignment="1" applyProtection="1">
      <alignment horizontal="left" vertical="top" wrapText="1"/>
      <protection locked="0"/>
    </xf>
    <xf numFmtId="49" fontId="29" fillId="0" borderId="14" xfId="0" applyNumberFormat="1" applyFont="1" applyBorder="1" applyAlignment="1" applyProtection="1">
      <alignment horizontal="left" vertical="top" wrapText="1"/>
      <protection locked="0"/>
    </xf>
    <xf numFmtId="49" fontId="29" fillId="0" borderId="15" xfId="0" applyNumberFormat="1" applyFont="1" applyBorder="1" applyAlignment="1" applyProtection="1">
      <alignment horizontal="left" vertical="top" wrapText="1"/>
      <protection locked="0"/>
    </xf>
    <xf numFmtId="0" fontId="6" fillId="5" borderId="3" xfId="0" applyFont="1" applyFill="1" applyBorder="1" applyAlignment="1">
      <alignment horizontal="left" vertical="top" wrapText="1"/>
    </xf>
    <xf numFmtId="0" fontId="6" fillId="5" borderId="14" xfId="0" applyFont="1" applyFill="1" applyBorder="1" applyAlignment="1">
      <alignment horizontal="left" vertical="top" wrapText="1"/>
    </xf>
    <xf numFmtId="0" fontId="6" fillId="5" borderId="27" xfId="0" applyFont="1" applyFill="1" applyBorder="1" applyAlignment="1">
      <alignment horizontal="left" vertical="top" wrapText="1"/>
    </xf>
    <xf numFmtId="0" fontId="6" fillId="5" borderId="28" xfId="0" applyFont="1" applyFill="1" applyBorder="1" applyAlignment="1">
      <alignment horizontal="left" vertical="top" wrapText="1"/>
    </xf>
    <xf numFmtId="0" fontId="6" fillId="5" borderId="29" xfId="0" applyFont="1" applyFill="1" applyBorder="1" applyAlignment="1">
      <alignment horizontal="left" vertical="top" wrapText="1"/>
    </xf>
    <xf numFmtId="0" fontId="2" fillId="2" borderId="0" xfId="0" applyFont="1" applyFill="1" applyAlignment="1">
      <alignment horizontal="left" vertical="top"/>
    </xf>
    <xf numFmtId="0" fontId="8" fillId="5" borderId="0" xfId="0" applyFont="1" applyFill="1" applyAlignment="1">
      <alignment horizontal="left" vertical="top"/>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87" xfId="0" applyFont="1" applyFill="1" applyBorder="1" applyAlignment="1">
      <alignment horizontal="center" vertical="center" wrapText="1"/>
    </xf>
    <xf numFmtId="0" fontId="3" fillId="5" borderId="88" xfId="0" applyFont="1" applyFill="1" applyBorder="1" applyAlignment="1">
      <alignment horizontal="center" vertical="center" wrapText="1"/>
    </xf>
    <xf numFmtId="0" fontId="3" fillId="0" borderId="56" xfId="0" applyFont="1" applyBorder="1" applyAlignment="1" applyProtection="1">
      <alignment horizontal="center" vertical="center" wrapText="1"/>
      <protection locked="0"/>
    </xf>
    <xf numFmtId="0" fontId="3" fillId="0" borderId="58" xfId="0" applyFont="1" applyBorder="1" applyAlignment="1" applyProtection="1">
      <alignment horizontal="center" vertical="center" wrapText="1"/>
      <protection locked="0"/>
    </xf>
    <xf numFmtId="0" fontId="3" fillId="0" borderId="57" xfId="0" applyFont="1" applyBorder="1" applyAlignment="1" applyProtection="1">
      <alignment horizontal="center" vertical="center" wrapText="1"/>
      <protection locked="0"/>
    </xf>
    <xf numFmtId="0" fontId="0" fillId="5" borderId="0" xfId="0" applyFill="1" applyAlignment="1">
      <alignment horizontal="left" vertical="top"/>
    </xf>
    <xf numFmtId="0" fontId="0" fillId="5" borderId="0" xfId="0" applyFill="1" applyAlignment="1">
      <alignment horizontal="center"/>
    </xf>
    <xf numFmtId="0" fontId="13" fillId="5" borderId="0" xfId="1" applyFont="1" applyFill="1" applyAlignment="1">
      <alignment horizontal="left" vertical="top" wrapText="1"/>
    </xf>
    <xf numFmtId="0" fontId="8" fillId="5" borderId="0" xfId="0" applyFont="1" applyFill="1" applyAlignment="1">
      <alignment horizontal="left" vertical="top" wrapText="1"/>
    </xf>
    <xf numFmtId="0" fontId="10" fillId="4" borderId="0" xfId="0" applyFont="1" applyFill="1" applyAlignment="1">
      <alignment horizontal="center" vertical="center" textRotation="90" wrapText="1"/>
    </xf>
    <xf numFmtId="0" fontId="10" fillId="4" borderId="3" xfId="0" applyFont="1" applyFill="1" applyBorder="1" applyAlignment="1">
      <alignment horizontal="center" vertical="center" textRotation="90" wrapText="1"/>
    </xf>
    <xf numFmtId="0" fontId="0" fillId="0" borderId="72" xfId="0" applyBorder="1" applyAlignment="1" applyProtection="1">
      <alignment horizontal="left" vertical="top" wrapText="1"/>
      <protection locked="0"/>
    </xf>
    <xf numFmtId="0" fontId="0" fillId="5" borderId="2" xfId="0" applyFill="1" applyBorder="1" applyAlignment="1">
      <alignment horizontal="center" wrapText="1"/>
    </xf>
    <xf numFmtId="0" fontId="8" fillId="0" borderId="51" xfId="0" applyFont="1" applyBorder="1" applyAlignment="1">
      <alignment horizontal="left" vertical="top" wrapText="1"/>
    </xf>
    <xf numFmtId="0" fontId="8" fillId="0" borderId="37" xfId="0" applyFont="1" applyBorder="1" applyAlignment="1">
      <alignment horizontal="left" vertical="top" wrapText="1"/>
    </xf>
    <xf numFmtId="0" fontId="8" fillId="0" borderId="52" xfId="0" applyFont="1" applyBorder="1" applyAlignment="1">
      <alignment horizontal="left" vertical="top" wrapText="1"/>
    </xf>
    <xf numFmtId="0" fontId="3" fillId="0" borderId="53" xfId="0" applyFont="1" applyBorder="1" applyAlignment="1" applyProtection="1">
      <alignment horizontal="left" vertical="top" wrapText="1"/>
      <protection locked="0"/>
    </xf>
    <xf numFmtId="0" fontId="3" fillId="0" borderId="1" xfId="0" applyFont="1" applyBorder="1" applyAlignment="1" applyProtection="1">
      <alignment horizontal="left" vertical="top" wrapText="1"/>
      <protection locked="0"/>
    </xf>
    <xf numFmtId="0" fontId="3" fillId="0" borderId="54" xfId="0" applyFont="1" applyBorder="1" applyAlignment="1" applyProtection="1">
      <alignment horizontal="left" vertical="top" wrapText="1"/>
      <protection locked="0"/>
    </xf>
    <xf numFmtId="0" fontId="8" fillId="5" borderId="22" xfId="0" applyFont="1" applyFill="1" applyBorder="1" applyAlignment="1">
      <alignment horizontal="center" vertical="center"/>
    </xf>
    <xf numFmtId="0" fontId="0" fillId="5" borderId="5" xfId="0" applyFill="1" applyBorder="1" applyAlignment="1">
      <alignment horizontal="center"/>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6" fillId="8" borderId="0" xfId="0" applyFont="1" applyFill="1" applyAlignment="1">
      <alignment horizontal="center" vertical="center" wrapText="1"/>
    </xf>
    <xf numFmtId="0" fontId="3" fillId="5" borderId="18" xfId="0" applyFont="1" applyFill="1" applyBorder="1" applyAlignment="1">
      <alignment horizontal="center" wrapText="1"/>
    </xf>
    <xf numFmtId="0" fontId="3" fillId="5" borderId="1" xfId="0" applyFont="1" applyFill="1" applyBorder="1" applyAlignment="1">
      <alignment horizontal="center" wrapText="1"/>
    </xf>
    <xf numFmtId="0" fontId="3" fillId="5" borderId="0" xfId="0" applyFont="1" applyFill="1" applyAlignment="1">
      <alignment horizontal="center" wrapText="1"/>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3" fillId="0" borderId="3" xfId="0" applyFont="1" applyBorder="1" applyAlignment="1">
      <alignment horizontal="center" vertical="center" wrapText="1"/>
    </xf>
    <xf numFmtId="0" fontId="26" fillId="7" borderId="0" xfId="0" applyFont="1" applyFill="1" applyAlignment="1">
      <alignment horizontal="center" vertical="center" wrapText="1"/>
    </xf>
    <xf numFmtId="0" fontId="3" fillId="5" borderId="18" xfId="0" applyFont="1" applyFill="1" applyBorder="1" applyAlignment="1">
      <alignment horizontal="left" vertical="center"/>
    </xf>
    <xf numFmtId="0" fontId="3" fillId="0" borderId="8" xfId="0" applyFont="1" applyBorder="1" applyAlignment="1" applyProtection="1">
      <alignment horizontal="left" vertical="top"/>
      <protection locked="0"/>
    </xf>
    <xf numFmtId="0" fontId="3" fillId="0" borderId="9" xfId="0" applyFont="1" applyBorder="1" applyAlignment="1" applyProtection="1">
      <alignment horizontal="left" vertical="top"/>
      <protection locked="0"/>
    </xf>
    <xf numFmtId="0" fontId="3" fillId="0" borderId="10" xfId="0" applyFont="1" applyBorder="1" applyAlignment="1" applyProtection="1">
      <alignment horizontal="left" vertical="top"/>
      <protection locked="0"/>
    </xf>
    <xf numFmtId="0" fontId="0" fillId="5" borderId="65" xfId="0" applyFill="1" applyBorder="1" applyAlignment="1">
      <alignment horizontal="center" vertical="center"/>
    </xf>
    <xf numFmtId="0" fontId="0" fillId="5" borderId="65" xfId="0" applyFill="1" applyBorder="1" applyAlignment="1">
      <alignment horizontal="center" vertical="center" wrapText="1"/>
    </xf>
    <xf numFmtId="0" fontId="8" fillId="0" borderId="8" xfId="0" applyFont="1" applyBorder="1" applyAlignment="1" applyProtection="1">
      <alignment horizontal="left" vertical="top"/>
      <protection locked="0"/>
    </xf>
    <xf numFmtId="0" fontId="8" fillId="0" borderId="10" xfId="0" applyFont="1" applyBorder="1" applyAlignment="1" applyProtection="1">
      <alignment horizontal="left" vertical="top"/>
      <protection locked="0"/>
    </xf>
    <xf numFmtId="0" fontId="8" fillId="0" borderId="8"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3" fontId="8" fillId="5" borderId="0" xfId="0" applyNumberFormat="1" applyFont="1" applyFill="1" applyAlignment="1">
      <alignment horizontal="center"/>
    </xf>
    <xf numFmtId="3" fontId="8" fillId="5" borderId="3" xfId="0" applyNumberFormat="1" applyFont="1" applyFill="1" applyBorder="1" applyAlignment="1">
      <alignment horizontal="center"/>
    </xf>
    <xf numFmtId="3" fontId="8" fillId="5" borderId="18" xfId="0" applyNumberFormat="1" applyFont="1" applyFill="1" applyBorder="1" applyAlignment="1">
      <alignment horizontal="center"/>
    </xf>
    <xf numFmtId="0" fontId="8" fillId="5" borderId="18" xfId="0" applyFont="1" applyFill="1" applyBorder="1" applyAlignment="1">
      <alignment horizontal="center"/>
    </xf>
    <xf numFmtId="0" fontId="8" fillId="0" borderId="0" xfId="0" applyFont="1" applyAlignment="1">
      <alignment horizontal="center"/>
    </xf>
    <xf numFmtId="0" fontId="8" fillId="0" borderId="3" xfId="0" applyFont="1" applyBorder="1" applyAlignment="1">
      <alignment horizontal="center"/>
    </xf>
    <xf numFmtId="0" fontId="8" fillId="0" borderId="0" xfId="0" applyFont="1" applyAlignment="1">
      <alignment horizontal="center" vertical="center"/>
    </xf>
    <xf numFmtId="0" fontId="3" fillId="5" borderId="31"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24" xfId="0" applyFont="1" applyFill="1" applyBorder="1" applyAlignment="1">
      <alignment horizontal="left" vertical="center" wrapText="1"/>
    </xf>
    <xf numFmtId="0" fontId="0" fillId="0" borderId="3" xfId="0" applyBorder="1" applyAlignment="1">
      <alignment horizontal="center"/>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8" fillId="5" borderId="17"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21" xfId="0" applyFont="1" applyFill="1" applyBorder="1" applyAlignment="1">
      <alignment horizontal="center" vertical="center" wrapText="1"/>
    </xf>
    <xf numFmtId="0" fontId="3" fillId="5" borderId="22" xfId="0" applyFont="1" applyFill="1" applyBorder="1" applyAlignment="1">
      <alignment horizontal="center" vertical="center" wrapText="1"/>
    </xf>
    <xf numFmtId="0" fontId="3" fillId="0" borderId="3" xfId="0" applyFont="1" applyBorder="1" applyAlignment="1">
      <alignment horizontal="left" vertical="center" wrapText="1"/>
    </xf>
    <xf numFmtId="0" fontId="3" fillId="0" borderId="30" xfId="0" applyFont="1" applyBorder="1" applyAlignment="1">
      <alignment horizontal="left" vertical="center" wrapText="1"/>
    </xf>
    <xf numFmtId="0" fontId="0" fillId="5" borderId="5" xfId="0" applyFill="1" applyBorder="1" applyAlignment="1">
      <alignment horizontal="left" vertical="top" wrapText="1"/>
    </xf>
    <xf numFmtId="0" fontId="0" fillId="5" borderId="24" xfId="0" applyFill="1" applyBorder="1" applyAlignment="1">
      <alignment horizontal="left" vertical="top" wrapText="1"/>
    </xf>
    <xf numFmtId="0" fontId="3" fillId="5" borderId="20" xfId="0" applyFont="1" applyFill="1" applyBorder="1" applyAlignment="1">
      <alignment horizontal="right" wrapText="1"/>
    </xf>
    <xf numFmtId="0" fontId="3" fillId="5" borderId="22" xfId="0" applyFont="1" applyFill="1" applyBorder="1" applyAlignment="1">
      <alignment horizontal="right" wrapText="1"/>
    </xf>
    <xf numFmtId="3" fontId="3" fillId="0" borderId="32" xfId="3" applyNumberFormat="1" applyFont="1" applyBorder="1" applyAlignment="1" applyProtection="1">
      <alignment horizontal="center" vertical="center" wrapText="1"/>
      <protection locked="0"/>
    </xf>
    <xf numFmtId="3" fontId="3" fillId="0" borderId="33" xfId="3" applyNumberFormat="1" applyFont="1" applyBorder="1" applyAlignment="1" applyProtection="1">
      <alignment horizontal="center" vertical="center" wrapText="1"/>
      <protection locked="0"/>
    </xf>
    <xf numFmtId="3" fontId="3" fillId="0" borderId="34" xfId="3" applyNumberFormat="1" applyFont="1" applyBorder="1" applyAlignment="1" applyProtection="1">
      <alignment horizontal="center" vertical="center" wrapText="1"/>
      <protection locked="0"/>
    </xf>
    <xf numFmtId="0" fontId="3" fillId="0" borderId="0" xfId="0" applyFont="1" applyAlignment="1">
      <alignment horizontal="left" vertical="center" wrapText="1"/>
    </xf>
    <xf numFmtId="0" fontId="3" fillId="0" borderId="6" xfId="0" applyFont="1" applyBorder="1" applyAlignment="1">
      <alignment horizontal="left" vertical="center" wrapText="1"/>
    </xf>
    <xf numFmtId="0" fontId="28" fillId="9" borderId="0" xfId="0" applyFont="1" applyFill="1" applyAlignment="1">
      <alignment horizontal="center" textRotation="90"/>
    </xf>
    <xf numFmtId="0" fontId="28" fillId="9" borderId="3" xfId="0" applyFont="1" applyFill="1" applyBorder="1" applyAlignment="1">
      <alignment horizontal="center" textRotation="90"/>
    </xf>
    <xf numFmtId="0" fontId="3" fillId="5" borderId="20" xfId="0" applyFont="1" applyFill="1" applyBorder="1" applyAlignment="1">
      <alignment horizontal="center" vertical="center" wrapText="1"/>
    </xf>
    <xf numFmtId="0" fontId="19" fillId="6" borderId="56" xfId="0" applyFont="1" applyFill="1" applyBorder="1" applyAlignment="1">
      <alignment horizontal="left" vertical="center" wrapText="1"/>
    </xf>
    <xf numFmtId="0" fontId="19" fillId="6" borderId="57" xfId="0" applyFont="1" applyFill="1" applyBorder="1" applyAlignment="1">
      <alignment horizontal="left" vertical="center" wrapText="1"/>
    </xf>
    <xf numFmtId="0" fontId="19" fillId="6" borderId="58" xfId="0" applyFont="1" applyFill="1" applyBorder="1" applyAlignment="1">
      <alignment horizontal="left" vertical="center" wrapText="1"/>
    </xf>
    <xf numFmtId="0" fontId="20" fillId="4" borderId="0" xfId="0" applyFont="1" applyFill="1" applyAlignment="1">
      <alignment horizontal="center" vertical="center" textRotation="90" wrapText="1"/>
    </xf>
    <xf numFmtId="0" fontId="20" fillId="4" borderId="3" xfId="0" applyFont="1" applyFill="1" applyBorder="1" applyAlignment="1">
      <alignment horizontal="center" vertical="center" textRotation="90" wrapText="1"/>
    </xf>
    <xf numFmtId="0" fontId="8" fillId="0" borderId="9" xfId="0" applyFont="1" applyBorder="1" applyAlignment="1" applyProtection="1">
      <alignment horizontal="center" vertical="center"/>
      <protection locked="0"/>
    </xf>
    <xf numFmtId="3" fontId="3" fillId="0" borderId="13" xfId="3" applyNumberFormat="1" applyFont="1" applyBorder="1" applyAlignment="1" applyProtection="1">
      <alignment horizontal="center" vertical="center" wrapText="1"/>
      <protection locked="0"/>
    </xf>
    <xf numFmtId="3" fontId="3" fillId="0" borderId="14" xfId="3" applyNumberFormat="1" applyFont="1" applyBorder="1" applyAlignment="1" applyProtection="1">
      <alignment horizontal="center" vertical="center" wrapText="1"/>
      <protection locked="0"/>
    </xf>
    <xf numFmtId="3" fontId="3" fillId="0" borderId="15" xfId="3" applyNumberFormat="1" applyFont="1" applyBorder="1" applyAlignment="1" applyProtection="1">
      <alignment horizontal="center" vertical="center" wrapText="1"/>
      <protection locked="0"/>
    </xf>
    <xf numFmtId="0" fontId="24" fillId="4" borderId="18" xfId="0" applyFont="1" applyFill="1" applyBorder="1" applyAlignment="1">
      <alignment horizontal="center" vertical="center"/>
    </xf>
    <xf numFmtId="0" fontId="24" fillId="4" borderId="19" xfId="0" applyFont="1" applyFill="1" applyBorder="1" applyAlignment="1">
      <alignment horizontal="center" vertical="center"/>
    </xf>
    <xf numFmtId="0" fontId="8" fillId="5" borderId="0" xfId="0" applyFont="1" applyFill="1" applyAlignment="1">
      <alignment horizontal="center"/>
    </xf>
    <xf numFmtId="0" fontId="0" fillId="5" borderId="18" xfId="0" applyFill="1" applyBorder="1" applyAlignment="1">
      <alignment horizontal="center" vertical="top" wrapText="1"/>
    </xf>
    <xf numFmtId="0" fontId="0" fillId="5" borderId="0" xfId="0" applyFill="1" applyAlignment="1">
      <alignment horizontal="center" vertical="top" wrapText="1"/>
    </xf>
    <xf numFmtId="0" fontId="0" fillId="5" borderId="3" xfId="0" applyFill="1" applyBorder="1" applyAlignment="1">
      <alignment horizontal="center" vertical="top" wrapText="1"/>
    </xf>
    <xf numFmtId="0" fontId="8" fillId="5" borderId="22" xfId="0" applyFont="1" applyFill="1" applyBorder="1" applyAlignment="1">
      <alignment horizontal="left" vertical="center"/>
    </xf>
    <xf numFmtId="0" fontId="19" fillId="6" borderId="60" xfId="0" applyFont="1" applyFill="1" applyBorder="1" applyAlignment="1" applyProtection="1">
      <alignment horizontal="left" vertical="top" wrapText="1"/>
      <protection locked="0"/>
    </xf>
    <xf numFmtId="0" fontId="3" fillId="6" borderId="59" xfId="0" applyFont="1" applyFill="1" applyBorder="1" applyAlignment="1" applyProtection="1">
      <alignment horizontal="left" vertical="top" wrapText="1"/>
      <protection locked="0"/>
    </xf>
    <xf numFmtId="0" fontId="3" fillId="6" borderId="61" xfId="0" applyFont="1" applyFill="1" applyBorder="1" applyAlignment="1" applyProtection="1">
      <alignment horizontal="left" vertical="top" wrapText="1"/>
      <protection locked="0"/>
    </xf>
    <xf numFmtId="0" fontId="3" fillId="5" borderId="40" xfId="0" applyFont="1" applyFill="1" applyBorder="1" applyAlignment="1">
      <alignment vertical="center" wrapText="1"/>
    </xf>
    <xf numFmtId="0" fontId="3" fillId="5" borderId="21" xfId="0" applyFont="1" applyFill="1" applyBorder="1" applyAlignment="1">
      <alignment vertical="center" wrapText="1"/>
    </xf>
    <xf numFmtId="0" fontId="3" fillId="5" borderId="20" xfId="0" applyFont="1" applyFill="1" applyBorder="1" applyAlignment="1">
      <alignment vertical="center" wrapText="1"/>
    </xf>
    <xf numFmtId="0" fontId="3" fillId="5" borderId="17" xfId="0" applyFont="1" applyFill="1" applyBorder="1" applyAlignment="1">
      <alignment vertical="center" wrapText="1"/>
    </xf>
    <xf numFmtId="3" fontId="4" fillId="5" borderId="0" xfId="3" applyNumberFormat="1" applyFont="1" applyFill="1" applyAlignment="1">
      <alignment horizontal="center" vertical="center" wrapText="1"/>
    </xf>
    <xf numFmtId="3" fontId="3" fillId="0" borderId="62" xfId="3" applyNumberFormat="1" applyFont="1" applyBorder="1" applyAlignment="1" applyProtection="1">
      <alignment horizontal="center" vertical="center" wrapText="1"/>
      <protection locked="0"/>
    </xf>
    <xf numFmtId="3" fontId="3" fillId="0" borderId="63" xfId="3" applyNumberFormat="1" applyFont="1" applyBorder="1" applyAlignment="1" applyProtection="1">
      <alignment horizontal="center" vertical="center" wrapText="1"/>
      <protection locked="0"/>
    </xf>
    <xf numFmtId="3" fontId="3" fillId="0" borderId="64" xfId="3" applyNumberFormat="1" applyFont="1" applyBorder="1" applyAlignment="1" applyProtection="1">
      <alignment horizontal="center" vertical="center" wrapText="1"/>
      <protection locked="0"/>
    </xf>
    <xf numFmtId="0" fontId="3" fillId="5" borderId="30" xfId="0" applyFont="1" applyFill="1" applyBorder="1" applyAlignment="1">
      <alignment horizontal="center" vertical="center" wrapText="1"/>
    </xf>
    <xf numFmtId="0" fontId="3" fillId="5" borderId="40" xfId="0" applyFont="1" applyFill="1" applyBorder="1" applyAlignment="1">
      <alignment horizontal="center" vertical="center" wrapText="1"/>
    </xf>
    <xf numFmtId="3" fontId="3" fillId="0" borderId="43" xfId="3" applyNumberFormat="1" applyFont="1" applyBorder="1" applyAlignment="1" applyProtection="1">
      <alignment horizontal="center" vertical="center" wrapText="1"/>
      <protection locked="0"/>
    </xf>
    <xf numFmtId="3" fontId="3" fillId="0" borderId="44" xfId="3" applyNumberFormat="1" applyFont="1" applyBorder="1" applyAlignment="1" applyProtection="1">
      <alignment horizontal="center" vertical="center" wrapText="1"/>
      <protection locked="0"/>
    </xf>
    <xf numFmtId="3" fontId="3" fillId="0" borderId="45" xfId="3" applyNumberFormat="1" applyFont="1" applyBorder="1" applyAlignment="1" applyProtection="1">
      <alignment horizontal="center" vertical="center" wrapText="1"/>
      <protection locked="0"/>
    </xf>
    <xf numFmtId="0" fontId="8" fillId="5" borderId="0" xfId="0" applyFont="1" applyFill="1" applyAlignment="1">
      <alignment horizontal="left"/>
    </xf>
    <xf numFmtId="0" fontId="8" fillId="5" borderId="17"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21" xfId="0" applyFont="1" applyFill="1" applyBorder="1" applyAlignment="1">
      <alignment horizontal="center" vertical="center"/>
    </xf>
    <xf numFmtId="0" fontId="3" fillId="5" borderId="46" xfId="0" applyFont="1" applyFill="1" applyBorder="1" applyAlignment="1">
      <alignment horizontal="center" vertical="center" wrapText="1"/>
    </xf>
    <xf numFmtId="0" fontId="3" fillId="5" borderId="47" xfId="0" applyFont="1" applyFill="1" applyBorder="1" applyAlignment="1">
      <alignment horizontal="center" vertical="center" wrapText="1"/>
    </xf>
    <xf numFmtId="0" fontId="8" fillId="6" borderId="8" xfId="0" applyFont="1" applyFill="1" applyBorder="1" applyAlignment="1" applyProtection="1">
      <alignment horizontal="center" vertical="center"/>
      <protection locked="0"/>
    </xf>
    <xf numFmtId="0" fontId="8" fillId="6" borderId="9" xfId="0" applyFont="1" applyFill="1" applyBorder="1" applyAlignment="1" applyProtection="1">
      <alignment horizontal="center" vertical="center"/>
      <protection locked="0"/>
    </xf>
    <xf numFmtId="0" fontId="0" fillId="5" borderId="7" xfId="0" applyFill="1" applyBorder="1" applyAlignment="1">
      <alignment horizontal="center" vertical="top"/>
    </xf>
    <xf numFmtId="0" fontId="8" fillId="5" borderId="6" xfId="0" applyFont="1" applyFill="1" applyBorder="1" applyAlignment="1">
      <alignment horizontal="center"/>
    </xf>
    <xf numFmtId="0" fontId="0" fillId="5" borderId="18" xfId="0" applyFill="1" applyBorder="1" applyAlignment="1">
      <alignment horizontal="center"/>
    </xf>
    <xf numFmtId="0" fontId="0" fillId="10" borderId="0" xfId="0" applyFill="1" applyAlignment="1" applyProtection="1">
      <alignment horizontal="center"/>
      <protection locked="0"/>
    </xf>
    <xf numFmtId="0" fontId="0" fillId="11" borderId="0" xfId="0" applyFill="1" applyAlignment="1" applyProtection="1">
      <alignment horizontal="center"/>
      <protection locked="0"/>
    </xf>
    <xf numFmtId="0" fontId="0" fillId="0" borderId="57"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11" borderId="1" xfId="0" applyFill="1" applyBorder="1" applyAlignment="1" applyProtection="1">
      <alignment horizontal="center"/>
      <protection locked="0"/>
    </xf>
    <xf numFmtId="0" fontId="0" fillId="5" borderId="0" xfId="0" applyFill="1" applyAlignment="1">
      <alignment vertical="center"/>
    </xf>
    <xf numFmtId="0" fontId="0" fillId="5" borderId="36" xfId="0" applyFill="1" applyBorder="1" applyAlignment="1">
      <alignment vertical="center"/>
    </xf>
    <xf numFmtId="0" fontId="0" fillId="5" borderId="1" xfId="0" applyFill="1" applyBorder="1" applyAlignment="1">
      <alignment vertical="center"/>
    </xf>
    <xf numFmtId="0" fontId="0" fillId="5" borderId="89" xfId="0" applyFill="1" applyBorder="1" applyAlignment="1">
      <alignment vertical="center"/>
    </xf>
    <xf numFmtId="0" fontId="3" fillId="5" borderId="86" xfId="0" applyFont="1" applyFill="1" applyBorder="1" applyAlignment="1">
      <alignment vertical="center" wrapText="1"/>
    </xf>
    <xf numFmtId="0" fontId="3" fillId="5" borderId="5" xfId="0" applyFont="1" applyFill="1" applyBorder="1" applyAlignment="1">
      <alignment vertical="center" wrapText="1"/>
    </xf>
    <xf numFmtId="0" fontId="3" fillId="5" borderId="24" xfId="0" applyFont="1" applyFill="1" applyBorder="1" applyAlignment="1">
      <alignment vertical="center" wrapText="1"/>
    </xf>
    <xf numFmtId="0" fontId="0" fillId="0" borderId="13" xfId="0" applyBorder="1" applyAlignment="1" applyProtection="1">
      <alignment horizontal="center" vertical="center"/>
      <protection locked="0"/>
    </xf>
    <xf numFmtId="0" fontId="0" fillId="0" borderId="15" xfId="0" applyBorder="1" applyAlignment="1" applyProtection="1">
      <alignment horizontal="center" vertical="center"/>
      <protection locked="0"/>
    </xf>
    <xf numFmtId="0" fontId="0" fillId="0" borderId="51"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0" fillId="0" borderId="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3" fillId="5" borderId="19" xfId="0" applyFont="1" applyFill="1" applyBorder="1" applyAlignment="1">
      <alignment horizontal="left" vertical="center"/>
    </xf>
    <xf numFmtId="0" fontId="3" fillId="0" borderId="8" xfId="0" applyFont="1" applyBorder="1" applyAlignment="1" applyProtection="1">
      <alignment horizontal="left" vertical="top" wrapText="1"/>
      <protection locked="0"/>
    </xf>
    <xf numFmtId="0" fontId="3" fillId="5" borderId="19" xfId="0" applyFont="1" applyFill="1" applyBorder="1" applyAlignment="1">
      <alignment horizontal="left" vertical="center" wrapText="1"/>
    </xf>
    <xf numFmtId="0" fontId="0" fillId="5" borderId="0" xfId="0" applyFill="1" applyAlignment="1">
      <alignment horizontal="left" vertical="center"/>
    </xf>
    <xf numFmtId="0" fontId="0" fillId="5" borderId="36" xfId="0" applyFill="1" applyBorder="1" applyAlignment="1">
      <alignment horizontal="left" vertical="center"/>
    </xf>
    <xf numFmtId="0" fontId="0" fillId="5" borderId="3" xfId="0" applyFill="1" applyBorder="1" applyAlignment="1">
      <alignment horizontal="center"/>
    </xf>
    <xf numFmtId="0" fontId="3" fillId="0" borderId="53" xfId="0" applyFont="1" applyBorder="1" applyAlignment="1" applyProtection="1">
      <alignment horizontal="center" vertical="center" wrapText="1"/>
      <protection locked="0"/>
    </xf>
    <xf numFmtId="0" fontId="3" fillId="0" borderId="54" xfId="0" applyFont="1" applyBorder="1" applyAlignment="1" applyProtection="1">
      <alignment horizontal="center" vertical="center" wrapText="1"/>
      <protection locked="0"/>
    </xf>
    <xf numFmtId="0" fontId="8" fillId="6" borderId="56" xfId="0" applyFont="1" applyFill="1" applyBorder="1" applyAlignment="1">
      <alignment horizontal="left" vertical="center"/>
    </xf>
    <xf numFmtId="0" fontId="8" fillId="6" borderId="57" xfId="0" applyFont="1" applyFill="1" applyBorder="1" applyAlignment="1">
      <alignment horizontal="left" vertical="center"/>
    </xf>
    <xf numFmtId="0" fontId="8" fillId="6" borderId="58" xfId="0" applyFont="1" applyFill="1" applyBorder="1" applyAlignment="1">
      <alignment horizontal="left" vertical="center"/>
    </xf>
    <xf numFmtId="0" fontId="3" fillId="0" borderId="57" xfId="0" applyFont="1" applyBorder="1" applyAlignment="1">
      <alignment horizontal="left" vertical="top" wrapText="1"/>
    </xf>
    <xf numFmtId="0" fontId="3" fillId="0" borderId="58" xfId="0" applyFont="1" applyBorder="1" applyAlignment="1">
      <alignment horizontal="left" vertical="top" wrapText="1"/>
    </xf>
    <xf numFmtId="0" fontId="3" fillId="5" borderId="6" xfId="0" applyFont="1" applyFill="1" applyBorder="1" applyAlignment="1">
      <alignment horizontal="left" vertical="center" wrapText="1"/>
    </xf>
    <xf numFmtId="0" fontId="8" fillId="6" borderId="18" xfId="0" applyFont="1" applyFill="1" applyBorder="1" applyAlignment="1">
      <alignment horizontal="center" vertical="center"/>
    </xf>
    <xf numFmtId="0" fontId="8" fillId="6" borderId="67" xfId="0" applyFont="1" applyFill="1" applyBorder="1" applyAlignment="1">
      <alignment horizontal="center" vertical="center"/>
    </xf>
    <xf numFmtId="0" fontId="8" fillId="6" borderId="0" xfId="0" applyFont="1" applyFill="1" applyAlignment="1">
      <alignment horizontal="center" vertical="center"/>
    </xf>
    <xf numFmtId="0" fontId="8" fillId="6" borderId="71" xfId="0" applyFont="1" applyFill="1" applyBorder="1" applyAlignment="1">
      <alignment horizontal="center" vertical="center"/>
    </xf>
    <xf numFmtId="0" fontId="3" fillId="5" borderId="17" xfId="0" applyFont="1" applyFill="1" applyBorder="1" applyAlignment="1">
      <alignment horizontal="left" vertical="center" wrapText="1"/>
    </xf>
    <xf numFmtId="0" fontId="3" fillId="5" borderId="7"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0" fillId="5" borderId="18" xfId="0" applyFill="1" applyBorder="1" applyAlignment="1">
      <alignment horizontal="center" vertical="top"/>
    </xf>
    <xf numFmtId="0" fontId="0" fillId="5" borderId="0" xfId="0" applyFill="1" applyAlignment="1">
      <alignment horizontal="center" vertical="top"/>
    </xf>
    <xf numFmtId="0" fontId="0" fillId="5" borderId="3" xfId="0" applyFill="1" applyBorder="1" applyAlignment="1">
      <alignment horizontal="center" vertical="top"/>
    </xf>
    <xf numFmtId="0" fontId="0" fillId="5" borderId="18" xfId="0" applyFill="1" applyBorder="1" applyAlignment="1">
      <alignment horizontal="left" vertical="top"/>
    </xf>
    <xf numFmtId="0" fontId="0" fillId="5" borderId="19" xfId="0" applyFill="1" applyBorder="1" applyAlignment="1">
      <alignment horizontal="left" vertical="top"/>
    </xf>
    <xf numFmtId="0" fontId="0" fillId="5" borderId="30" xfId="0" applyFill="1" applyBorder="1" applyAlignment="1">
      <alignment horizontal="center"/>
    </xf>
    <xf numFmtId="0" fontId="6" fillId="5" borderId="37" xfId="0" applyFont="1" applyFill="1" applyBorder="1" applyAlignment="1">
      <alignment horizontal="left" vertical="top" wrapText="1"/>
    </xf>
    <xf numFmtId="0" fontId="6" fillId="5" borderId="38" xfId="0" applyFont="1" applyFill="1" applyBorder="1" applyAlignment="1">
      <alignment horizontal="left" vertical="top" wrapText="1"/>
    </xf>
    <xf numFmtId="0" fontId="8" fillId="5" borderId="18" xfId="0" applyFont="1" applyFill="1" applyBorder="1" applyAlignment="1">
      <alignment horizontal="center" vertical="center"/>
    </xf>
    <xf numFmtId="0" fontId="8" fillId="5" borderId="18" xfId="0" applyFont="1" applyFill="1" applyBorder="1" applyAlignment="1">
      <alignment horizontal="left" vertical="center"/>
    </xf>
    <xf numFmtId="0" fontId="8" fillId="5" borderId="19" xfId="0" applyFont="1" applyFill="1" applyBorder="1" applyAlignment="1">
      <alignment horizontal="left" vertical="center"/>
    </xf>
    <xf numFmtId="0" fontId="3" fillId="6" borderId="17" xfId="0" applyFont="1" applyFill="1" applyBorder="1" applyAlignment="1">
      <alignment horizontal="left" vertical="center" wrapText="1"/>
    </xf>
    <xf numFmtId="0" fontId="3" fillId="6" borderId="18"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21" xfId="0" applyFont="1" applyFill="1" applyBorder="1" applyAlignment="1" applyProtection="1">
      <alignment horizontal="left" vertical="top" wrapText="1"/>
      <protection locked="0"/>
    </xf>
    <xf numFmtId="0" fontId="3" fillId="6" borderId="3" xfId="0" applyFont="1" applyFill="1" applyBorder="1" applyAlignment="1" applyProtection="1">
      <alignment horizontal="left" vertical="top" wrapText="1"/>
      <protection locked="0"/>
    </xf>
    <xf numFmtId="0" fontId="3" fillId="6" borderId="30" xfId="0" applyFont="1" applyFill="1" applyBorder="1" applyAlignment="1" applyProtection="1">
      <alignment horizontal="left" vertical="top" wrapText="1"/>
      <protection locked="0"/>
    </xf>
    <xf numFmtId="0" fontId="3" fillId="5" borderId="0" xfId="0" applyFont="1" applyFill="1" applyAlignment="1">
      <alignment horizontal="right" vertical="center"/>
    </xf>
    <xf numFmtId="0" fontId="0" fillId="0" borderId="0" xfId="0" applyAlignment="1" applyProtection="1">
      <alignment horizontal="center" vertical="center"/>
      <protection locked="0"/>
    </xf>
    <xf numFmtId="0" fontId="3" fillId="0" borderId="18" xfId="0" applyFont="1" applyBorder="1" applyAlignment="1">
      <alignment horizontal="left" vertical="top" wrapText="1"/>
    </xf>
    <xf numFmtId="0" fontId="3" fillId="0" borderId="19" xfId="0" applyFont="1" applyBorder="1" applyAlignment="1">
      <alignment horizontal="left" vertical="top" wrapText="1"/>
    </xf>
    <xf numFmtId="0" fontId="3" fillId="0" borderId="3" xfId="0" applyFont="1" applyBorder="1" applyAlignment="1" applyProtection="1">
      <alignment horizontal="left" vertical="top" wrapText="1"/>
      <protection locked="0"/>
    </xf>
    <xf numFmtId="0" fontId="3" fillId="0" borderId="30" xfId="0" applyFont="1" applyBorder="1" applyAlignment="1" applyProtection="1">
      <alignment horizontal="left" vertical="top" wrapText="1"/>
      <protection locked="0"/>
    </xf>
    <xf numFmtId="0" fontId="0" fillId="5" borderId="7" xfId="0" applyFill="1" applyBorder="1" applyAlignment="1">
      <alignment horizontal="center" vertical="center"/>
    </xf>
    <xf numFmtId="0" fontId="3" fillId="0" borderId="0" xfId="0" applyFont="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3" fillId="6" borderId="17" xfId="0" applyFont="1" applyFill="1" applyBorder="1" applyAlignment="1">
      <alignment horizontal="left" vertical="top" wrapText="1"/>
    </xf>
    <xf numFmtId="0" fontId="3" fillId="6" borderId="18" xfId="0" applyFont="1" applyFill="1" applyBorder="1" applyAlignment="1">
      <alignment horizontal="left" vertical="top" wrapText="1"/>
    </xf>
    <xf numFmtId="0" fontId="3" fillId="6" borderId="19" xfId="0" applyFont="1" applyFill="1" applyBorder="1" applyAlignment="1">
      <alignment horizontal="left" vertical="top" wrapText="1"/>
    </xf>
    <xf numFmtId="0" fontId="8" fillId="5" borderId="22" xfId="0" applyFont="1" applyFill="1" applyBorder="1" applyAlignment="1">
      <alignment horizontal="right" vertical="center"/>
    </xf>
    <xf numFmtId="0" fontId="41" fillId="0" borderId="0" xfId="0" applyFont="1" applyAlignment="1">
      <alignment horizontal="center"/>
    </xf>
    <xf numFmtId="0" fontId="41" fillId="0" borderId="93" xfId="0" applyFont="1" applyBorder="1" applyAlignment="1">
      <alignment horizontal="center"/>
    </xf>
    <xf numFmtId="0" fontId="39" fillId="0" borderId="96" xfId="0" applyFont="1" applyBorder="1" applyAlignment="1">
      <alignment horizontal="center"/>
    </xf>
    <xf numFmtId="0" fontId="39" fillId="0" borderId="0" xfId="0" applyFont="1" applyAlignment="1">
      <alignment horizontal="center"/>
    </xf>
    <xf numFmtId="0" fontId="0" fillId="0" borderId="0" xfId="0"/>
    <xf numFmtId="0" fontId="0" fillId="0" borderId="0" xfId="0" applyAlignment="1">
      <alignment horizontal="left"/>
    </xf>
    <xf numFmtId="0" fontId="43" fillId="0" borderId="96" xfId="0" applyFont="1" applyBorder="1" applyAlignment="1">
      <alignment horizontal="center"/>
    </xf>
    <xf numFmtId="0" fontId="43" fillId="0" borderId="0" xfId="0" applyFont="1" applyAlignment="1">
      <alignment horizontal="center"/>
    </xf>
    <xf numFmtId="0" fontId="0" fillId="0" borderId="96" xfId="0" applyBorder="1" applyAlignment="1">
      <alignment horizontal="center"/>
    </xf>
    <xf numFmtId="0" fontId="41" fillId="0" borderId="96" xfId="0" applyFont="1" applyBorder="1" applyAlignment="1">
      <alignment horizontal="center"/>
    </xf>
    <xf numFmtId="0" fontId="41" fillId="3" borderId="0" xfId="0" applyFont="1" applyFill="1" applyAlignment="1">
      <alignment horizontal="center"/>
    </xf>
    <xf numFmtId="0" fontId="41" fillId="0" borderId="96" xfId="0" applyFont="1" applyBorder="1" applyAlignment="1">
      <alignment horizontal="left" vertical="top" wrapText="1"/>
    </xf>
    <xf numFmtId="0" fontId="41" fillId="0" borderId="0" xfId="0" applyFont="1" applyAlignment="1">
      <alignment horizontal="left" vertical="top" wrapText="1"/>
    </xf>
    <xf numFmtId="0" fontId="41" fillId="0" borderId="93" xfId="0" applyFont="1" applyBorder="1" applyAlignment="1">
      <alignment horizontal="left" vertical="top" wrapText="1"/>
    </xf>
    <xf numFmtId="0" fontId="4" fillId="0" borderId="96" xfId="0" applyFont="1" applyBorder="1" applyAlignment="1">
      <alignment horizontal="left" vertical="top" wrapText="1"/>
    </xf>
    <xf numFmtId="0" fontId="4" fillId="0" borderId="0" xfId="0" applyFont="1" applyAlignment="1">
      <alignment horizontal="left" vertical="top" wrapText="1"/>
    </xf>
    <xf numFmtId="0" fontId="39" fillId="0" borderId="96" xfId="0" applyFont="1" applyBorder="1"/>
    <xf numFmtId="0" fontId="39" fillId="0" borderId="0" xfId="0" applyFont="1"/>
    <xf numFmtId="0" fontId="39" fillId="0" borderId="93" xfId="0" applyFont="1" applyBorder="1"/>
    <xf numFmtId="0" fontId="41" fillId="0" borderId="0" xfId="0" applyFont="1" applyAlignment="1">
      <alignment horizontal="center" vertical="center" wrapText="1"/>
    </xf>
    <xf numFmtId="0" fontId="39" fillId="0" borderId="93" xfId="0" applyFont="1" applyBorder="1" applyAlignment="1">
      <alignment horizontal="center"/>
    </xf>
    <xf numFmtId="0" fontId="43" fillId="0" borderId="96" xfId="0" applyFont="1" applyBorder="1" applyAlignment="1">
      <alignment horizontal="center" vertical="center"/>
    </xf>
    <xf numFmtId="0" fontId="43" fillId="0" borderId="0" xfId="0" applyFont="1" applyAlignment="1">
      <alignment horizontal="center" vertical="center"/>
    </xf>
    <xf numFmtId="0" fontId="41" fillId="15" borderId="0" xfId="0" applyFont="1" applyFill="1" applyAlignment="1">
      <alignment horizontal="center"/>
    </xf>
    <xf numFmtId="0" fontId="39" fillId="15" borderId="0" xfId="0" applyFont="1" applyFill="1" applyAlignment="1">
      <alignment horizontal="center"/>
    </xf>
    <xf numFmtId="0" fontId="39" fillId="3" borderId="0" xfId="0" applyFont="1" applyFill="1" applyAlignment="1">
      <alignment horizontal="center"/>
    </xf>
    <xf numFmtId="0" fontId="41" fillId="0" borderId="0" xfId="0" applyFont="1"/>
    <xf numFmtId="0" fontId="14" fillId="0" borderId="93" xfId="0" applyFont="1" applyBorder="1" applyAlignment="1">
      <alignment horizontal="center"/>
    </xf>
    <xf numFmtId="0" fontId="43" fillId="0" borderId="0" xfId="0" applyFont="1"/>
    <xf numFmtId="0" fontId="41" fillId="0" borderId="0" xfId="0" applyFont="1" applyAlignment="1">
      <alignment vertical="center"/>
    </xf>
    <xf numFmtId="0" fontId="41" fillId="0" borderId="0" xfId="0" applyFont="1" applyAlignment="1">
      <alignment vertical="center" wrapText="1"/>
    </xf>
    <xf numFmtId="0" fontId="0" fillId="0" borderId="93" xfId="0" applyBorder="1" applyAlignment="1">
      <alignment horizontal="center"/>
    </xf>
    <xf numFmtId="0" fontId="41" fillId="13" borderId="96" xfId="0" applyFont="1" applyFill="1" applyBorder="1" applyAlignment="1">
      <alignment horizontal="center"/>
    </xf>
    <xf numFmtId="0" fontId="41" fillId="13" borderId="0" xfId="0" applyFont="1" applyFill="1" applyAlignment="1">
      <alignment horizontal="center"/>
    </xf>
    <xf numFmtId="0" fontId="4" fillId="6" borderId="96" xfId="0" applyFont="1" applyFill="1" applyBorder="1" applyAlignment="1">
      <alignment horizontal="left" vertical="center" wrapText="1"/>
    </xf>
    <xf numFmtId="0" fontId="4" fillId="6" borderId="0" xfId="0" applyFont="1" applyFill="1" applyAlignment="1">
      <alignment horizontal="left" vertical="center" wrapText="1"/>
    </xf>
    <xf numFmtId="0" fontId="4" fillId="6" borderId="93" xfId="0" applyFont="1" applyFill="1" applyBorder="1" applyAlignment="1">
      <alignment horizontal="left" vertical="center" wrapText="1"/>
    </xf>
    <xf numFmtId="0" fontId="8" fillId="0" borderId="96" xfId="0" applyFont="1" applyBorder="1" applyAlignment="1">
      <alignment horizontal="left" vertical="top" wrapText="1"/>
    </xf>
    <xf numFmtId="0" fontId="8" fillId="0" borderId="0" xfId="0" applyFont="1" applyAlignment="1">
      <alignment horizontal="left" vertical="top" wrapText="1"/>
    </xf>
    <xf numFmtId="0" fontId="8" fillId="0" borderId="93" xfId="0" applyFont="1" applyBorder="1" applyAlignment="1">
      <alignment horizontal="left" vertical="top" wrapText="1"/>
    </xf>
    <xf numFmtId="0" fontId="0" fillId="5" borderId="0" xfId="0" applyFill="1" applyAlignment="1">
      <alignment horizontal="left"/>
    </xf>
    <xf numFmtId="0" fontId="0" fillId="5" borderId="0" xfId="0" applyFill="1"/>
    <xf numFmtId="9" fontId="30" fillId="0" borderId="0" xfId="2" applyFont="1" applyBorder="1" applyAlignment="1" applyProtection="1">
      <alignment horizontal="center" vertical="center"/>
    </xf>
    <xf numFmtId="9" fontId="30" fillId="0" borderId="93" xfId="2" applyFont="1" applyBorder="1" applyAlignment="1" applyProtection="1">
      <alignment horizontal="center" vertical="center"/>
    </xf>
    <xf numFmtId="0" fontId="39" fillId="13" borderId="96" xfId="0" applyFont="1" applyFill="1" applyBorder="1" applyAlignment="1">
      <alignment horizontal="center"/>
    </xf>
    <xf numFmtId="0" fontId="39" fillId="13" borderId="0" xfId="0" applyFont="1" applyFill="1" applyAlignment="1">
      <alignment horizontal="center"/>
    </xf>
    <xf numFmtId="0" fontId="4" fillId="0" borderId="97" xfId="0" applyFont="1" applyBorder="1" applyAlignment="1">
      <alignment horizontal="left" vertical="top" wrapText="1"/>
    </xf>
    <xf numFmtId="0" fontId="4" fillId="0" borderId="91" xfId="0" applyFont="1" applyBorder="1" applyAlignment="1">
      <alignment horizontal="left" vertical="top" wrapText="1"/>
    </xf>
    <xf numFmtId="0" fontId="4" fillId="0" borderId="98" xfId="0" applyFont="1" applyBorder="1" applyAlignment="1">
      <alignment horizontal="left" vertical="top" wrapText="1"/>
    </xf>
    <xf numFmtId="0" fontId="4" fillId="0" borderId="99" xfId="0" applyFont="1" applyBorder="1" applyAlignment="1">
      <alignment horizontal="left" vertical="top" wrapText="1"/>
    </xf>
    <xf numFmtId="0" fontId="44" fillId="0" borderId="103" xfId="0" applyFont="1" applyBorder="1" applyAlignment="1">
      <alignment horizontal="justify" vertical="top" wrapText="1"/>
    </xf>
    <xf numFmtId="0" fontId="44" fillId="0" borderId="0" xfId="0" applyFont="1" applyAlignment="1">
      <alignment horizontal="justify" vertical="top" wrapText="1"/>
    </xf>
    <xf numFmtId="0" fontId="44" fillId="0" borderId="93" xfId="0" applyFont="1" applyBorder="1" applyAlignment="1">
      <alignment horizontal="justify" vertical="top" wrapText="1"/>
    </xf>
    <xf numFmtId="0" fontId="44" fillId="0" borderId="104" xfId="0" applyFont="1" applyBorder="1" applyAlignment="1">
      <alignment horizontal="justify" vertical="top" wrapText="1"/>
    </xf>
    <xf numFmtId="0" fontId="44" fillId="0" borderId="101" xfId="0" applyFont="1" applyBorder="1" applyAlignment="1">
      <alignment horizontal="justify" vertical="top" wrapText="1"/>
    </xf>
    <xf numFmtId="0" fontId="44" fillId="0" borderId="102" xfId="0" applyFont="1" applyBorder="1" applyAlignment="1">
      <alignment horizontal="justify" vertical="top" wrapText="1"/>
    </xf>
    <xf numFmtId="9" fontId="30" fillId="0" borderId="96" xfId="2" applyFont="1" applyBorder="1" applyAlignment="1" applyProtection="1">
      <alignment horizontal="center" vertical="center"/>
    </xf>
    <xf numFmtId="0" fontId="37" fillId="4" borderId="56" xfId="0" applyFont="1" applyFill="1" applyBorder="1" applyAlignment="1">
      <alignment horizontal="center" vertical="center"/>
    </xf>
    <xf numFmtId="0" fontId="37" fillId="4" borderId="58" xfId="0" applyFont="1" applyFill="1" applyBorder="1" applyAlignment="1">
      <alignment horizontal="center" vertical="center"/>
    </xf>
    <xf numFmtId="0" fontId="0" fillId="4" borderId="78" xfId="0" applyFill="1" applyBorder="1" applyAlignment="1">
      <alignment wrapText="1"/>
    </xf>
    <xf numFmtId="0" fontId="0" fillId="4" borderId="79" xfId="0" applyFill="1" applyBorder="1" applyAlignment="1">
      <alignment wrapText="1"/>
    </xf>
    <xf numFmtId="0" fontId="0" fillId="4" borderId="81" xfId="0" applyFill="1" applyBorder="1" applyAlignment="1">
      <alignment wrapText="1"/>
    </xf>
    <xf numFmtId="0" fontId="0" fillId="4" borderId="0" xfId="0" applyFill="1" applyAlignment="1">
      <alignment wrapText="1"/>
    </xf>
    <xf numFmtId="0" fontId="0" fillId="0" borderId="53" xfId="0" applyBorder="1" applyAlignment="1" applyProtection="1">
      <alignment horizontal="center"/>
      <protection locked="0"/>
    </xf>
    <xf numFmtId="0" fontId="0" fillId="0" borderId="1" xfId="0" applyBorder="1" applyAlignment="1" applyProtection="1">
      <alignment horizontal="center"/>
      <protection locked="0"/>
    </xf>
    <xf numFmtId="0" fontId="0" fillId="0" borderId="54" xfId="0" applyBorder="1" applyAlignment="1" applyProtection="1">
      <alignment horizontal="center"/>
      <protection locked="0"/>
    </xf>
  </cellXfs>
  <cellStyles count="4">
    <cellStyle name="Comma" xfId="3" builtinId="3"/>
    <cellStyle name="Hyperlink" xfId="1" builtinId="8"/>
    <cellStyle name="Normal" xfId="0" builtinId="0"/>
    <cellStyle name="Percent" xfId="2" builtinId="5"/>
  </cellStyles>
  <dxfs count="111">
    <dxf>
      <font>
        <strike/>
      </font>
      <fill>
        <patternFill>
          <bgColor theme="0"/>
        </patternFill>
      </fill>
    </dxf>
    <dxf>
      <font>
        <strike/>
      </font>
      <fill>
        <patternFill>
          <bgColor theme="0"/>
        </patternFill>
      </fill>
    </dxf>
    <dxf>
      <font>
        <strike/>
      </font>
      <fill>
        <patternFill>
          <bgColor theme="0"/>
        </patternFill>
      </fill>
    </dxf>
    <dxf>
      <font>
        <strike/>
      </font>
      <fill>
        <patternFill>
          <bgColor theme="0"/>
        </patternFill>
      </fill>
    </dxf>
    <dxf>
      <font>
        <strike/>
      </font>
      <fill>
        <patternFill>
          <bgColor theme="0"/>
        </patternFill>
      </fill>
    </dxf>
    <dxf>
      <fill>
        <patternFill>
          <fgColor auto="1"/>
          <bgColor theme="5" tint="0.59996337778862885"/>
        </patternFill>
      </fill>
    </dxf>
    <dxf>
      <fill>
        <patternFill>
          <fgColor auto="1"/>
          <bgColor theme="5" tint="0.79998168889431442"/>
        </patternFill>
      </fill>
    </dxf>
    <dxf>
      <fill>
        <patternFill>
          <fgColor auto="1"/>
          <bgColor rgb="FFECFAEA"/>
        </patternFill>
      </fill>
    </dxf>
    <dxf>
      <fill>
        <patternFill>
          <fgColor auto="1"/>
          <bgColor rgb="FFD3F3CE"/>
        </patternFill>
      </fill>
    </dxf>
    <dxf>
      <font>
        <strike/>
      </font>
      <fill>
        <patternFill>
          <bgColor theme="0"/>
        </patternFill>
      </fill>
    </dxf>
    <dxf>
      <fill>
        <patternFill>
          <fgColor auto="1"/>
          <bgColor theme="5" tint="0.59996337778862885"/>
        </patternFill>
      </fill>
    </dxf>
    <dxf>
      <fill>
        <patternFill>
          <fgColor auto="1"/>
          <bgColor theme="5" tint="0.79998168889431442"/>
        </patternFill>
      </fill>
    </dxf>
    <dxf>
      <fill>
        <patternFill>
          <fgColor auto="1"/>
          <bgColor rgb="FFECFAEA"/>
        </patternFill>
      </fill>
    </dxf>
    <dxf>
      <fill>
        <patternFill>
          <fgColor auto="1"/>
          <bgColor rgb="FFD3F3CE"/>
        </patternFill>
      </fill>
    </dxf>
    <dxf>
      <fill>
        <patternFill>
          <fgColor auto="1"/>
          <bgColor theme="5" tint="0.79998168889431442"/>
        </patternFill>
      </fill>
    </dxf>
    <dxf>
      <fill>
        <patternFill>
          <fgColor auto="1"/>
          <bgColor theme="5" tint="0.59996337778862885"/>
        </patternFill>
      </fill>
    </dxf>
    <dxf>
      <fill>
        <patternFill>
          <fgColor auto="1"/>
          <bgColor rgb="FFECFAEA"/>
        </patternFill>
      </fill>
    </dxf>
    <dxf>
      <fill>
        <patternFill>
          <fgColor auto="1"/>
          <bgColor rgb="FFD3F3CE"/>
        </patternFill>
      </fill>
    </dxf>
    <dxf>
      <font>
        <strike/>
      </font>
      <fill>
        <patternFill>
          <bgColor theme="0"/>
        </patternFill>
      </fill>
    </dxf>
    <dxf>
      <font>
        <strike/>
      </font>
      <fill>
        <patternFill>
          <bgColor theme="0"/>
        </patternFill>
      </fill>
    </dxf>
    <dxf>
      <fill>
        <patternFill patternType="none">
          <bgColor auto="1"/>
        </patternFill>
      </fill>
    </dxf>
    <dxf>
      <fill>
        <patternFill>
          <bgColor rgb="FFD3F3CE"/>
        </patternFill>
      </fill>
    </dxf>
    <dxf>
      <fill>
        <patternFill>
          <bgColor theme="5" tint="0.59996337778862885"/>
        </patternFill>
      </fill>
    </dxf>
    <dxf>
      <fill>
        <patternFill>
          <fgColor auto="1"/>
          <bgColor rgb="FFECFAEA"/>
        </patternFill>
      </fill>
    </dxf>
    <dxf>
      <fill>
        <patternFill>
          <fgColor auto="1"/>
          <bgColor rgb="FFD3F3CE"/>
        </patternFill>
      </fill>
    </dxf>
    <dxf>
      <fill>
        <patternFill patternType="none">
          <bgColor auto="1"/>
        </patternFill>
      </fill>
    </dxf>
    <dxf>
      <font>
        <strike/>
      </font>
      <fill>
        <patternFill>
          <bgColor theme="0"/>
        </patternFill>
      </fill>
    </dxf>
    <dxf>
      <fill>
        <patternFill>
          <bgColor theme="5" tint="0.59996337778862885"/>
        </patternFill>
      </fill>
    </dxf>
    <dxf>
      <fill>
        <patternFill>
          <bgColor rgb="FFD3F3CE"/>
        </patternFill>
      </fill>
    </dxf>
    <dxf>
      <fill>
        <patternFill>
          <fgColor auto="1"/>
          <bgColor theme="5" tint="0.79998168889431442"/>
        </patternFill>
      </fill>
    </dxf>
    <dxf>
      <fill>
        <patternFill>
          <fgColor auto="1"/>
          <bgColor rgb="FFECFAEA"/>
        </patternFill>
      </fill>
    </dxf>
    <dxf>
      <fill>
        <patternFill>
          <fgColor auto="1"/>
          <bgColor rgb="FFD3F3CE"/>
        </patternFill>
      </fill>
    </dxf>
    <dxf>
      <fill>
        <patternFill>
          <fgColor auto="1"/>
          <bgColor theme="5" tint="0.59996337778862885"/>
        </patternFill>
      </fill>
    </dxf>
    <dxf>
      <fill>
        <patternFill>
          <fgColor auto="1"/>
          <bgColor rgb="FFECFAEA"/>
        </patternFill>
      </fill>
    </dxf>
    <dxf>
      <fill>
        <patternFill>
          <fgColor auto="1"/>
          <bgColor rgb="FFD3F3CE"/>
        </patternFill>
      </fill>
    </dxf>
    <dxf>
      <font>
        <strike/>
      </font>
      <fill>
        <patternFill>
          <bgColor theme="0"/>
        </patternFill>
      </fill>
    </dxf>
    <dxf>
      <fill>
        <patternFill patternType="none">
          <bgColor auto="1"/>
        </patternFill>
      </fill>
    </dxf>
    <dxf>
      <fill>
        <patternFill>
          <bgColor rgb="FFD3F3CE"/>
        </patternFill>
      </fill>
    </dxf>
    <dxf>
      <fill>
        <patternFill>
          <bgColor theme="5" tint="0.59996337778862885"/>
        </patternFill>
      </fill>
    </dxf>
    <dxf>
      <fill>
        <patternFill>
          <fgColor auto="1"/>
          <bgColor rgb="FFD3F3CE"/>
        </patternFill>
      </fill>
    </dxf>
    <dxf>
      <fill>
        <patternFill>
          <fgColor auto="1"/>
          <bgColor rgb="FFECFAEA"/>
        </patternFill>
      </fill>
    </dxf>
    <dxf>
      <font>
        <strike/>
      </font>
      <fill>
        <patternFill>
          <bgColor theme="0"/>
        </patternFill>
      </fill>
    </dxf>
    <dxf>
      <font>
        <strike/>
      </font>
    </dxf>
    <dxf>
      <font>
        <strike/>
      </font>
    </dxf>
    <dxf>
      <font>
        <strike/>
      </font>
    </dxf>
    <dxf>
      <font>
        <strike/>
      </font>
    </dxf>
    <dxf>
      <font>
        <strike/>
      </font>
    </dxf>
    <dxf>
      <font>
        <strike/>
      </font>
    </dxf>
    <dxf>
      <font>
        <strike/>
      </font>
    </dxf>
    <dxf>
      <font>
        <strike/>
      </font>
    </dxf>
    <dxf>
      <font>
        <strike/>
      </font>
    </dxf>
    <dxf>
      <font>
        <strike/>
      </font>
    </dxf>
    <dxf>
      <font>
        <color rgb="FF9C0006"/>
      </font>
      <fill>
        <patternFill patternType="solid">
          <bgColor theme="0" tint="-4.9989318521683403E-2"/>
        </patternFill>
      </fill>
    </dxf>
    <dxf>
      <font>
        <color rgb="FF9C0006"/>
      </font>
      <fill>
        <patternFill patternType="solid">
          <bgColor theme="0" tint="-4.9989318521683403E-2"/>
        </patternFill>
      </fill>
    </dxf>
    <dxf>
      <font>
        <color rgb="FF006100"/>
      </font>
      <fill>
        <patternFill patternType="solid">
          <bgColor theme="0" tint="-4.9989318521683403E-2"/>
        </patternFill>
      </fill>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2" formatCode="0.00"/>
      <border diagonalUp="0" diagonalDown="0">
        <left style="thin">
          <color indexed="64"/>
        </left>
        <right style="thin">
          <color indexed="64"/>
        </right>
        <top/>
        <bottom/>
        <vertical/>
        <horizontal/>
      </border>
      <protection locked="0" hidden="0"/>
    </dxf>
    <dxf>
      <numFmt numFmtId="1" formatCode="0"/>
      <border diagonalUp="0" diagonalDown="0">
        <left/>
        <right style="thin">
          <color indexed="64"/>
        </right>
        <top/>
        <bottom/>
        <vertical/>
        <horizontal/>
      </border>
      <protection locked="0" hidden="0"/>
    </dxf>
    <dxf>
      <border outline="0">
        <left style="thin">
          <color indexed="64"/>
        </left>
        <right style="thin">
          <color indexed="64"/>
        </right>
      </border>
    </dxf>
    <dxf>
      <protection locked="0" hidden="0"/>
    </dxf>
    <dxf>
      <border outline="0">
        <bottom style="thin">
          <color auto="1"/>
        </bottom>
      </border>
    </dxf>
    <dxf>
      <numFmt numFmtId="2" formatCode="0.00"/>
      <border diagonalUp="0" diagonalDown="0">
        <left style="thin">
          <color indexed="64"/>
        </left>
        <right/>
        <top/>
        <bottom/>
      </border>
      <protection locked="0" hidden="0"/>
    </dxf>
    <dxf>
      <numFmt numFmtId="2" formatCode="0.00"/>
      <border diagonalUp="0" diagonalDown="0">
        <left style="thin">
          <color indexed="64"/>
        </left>
        <right style="thin">
          <color indexed="64"/>
        </right>
        <top/>
        <bottom/>
      </border>
      <protection locked="0" hidden="0"/>
    </dxf>
    <dxf>
      <numFmt numFmtId="2" formatCode="0.00"/>
      <border diagonalUp="0" diagonalDown="0">
        <left style="thin">
          <color indexed="64"/>
        </left>
        <right style="thin">
          <color indexed="64"/>
        </right>
        <top/>
        <bottom/>
      </border>
      <protection locked="0" hidden="0"/>
    </dxf>
    <dxf>
      <numFmt numFmtId="2" formatCode="0.00"/>
      <border diagonalUp="0" diagonalDown="0">
        <left style="thin">
          <color indexed="64"/>
        </left>
        <right style="thin">
          <color indexed="64"/>
        </right>
        <top/>
        <bottom/>
      </border>
      <protection locked="0" hidden="0"/>
    </dxf>
    <dxf>
      <numFmt numFmtId="1" formatCode="0"/>
      <border diagonalUp="0" diagonalDown="0">
        <left/>
        <right style="thin">
          <color indexed="64"/>
        </right>
        <top/>
        <bottom/>
      </border>
      <protection locked="0" hidden="0"/>
    </dxf>
    <dxf>
      <protection locked="0" hidden="0"/>
    </dxf>
    <dxf>
      <border>
        <bottom style="thin">
          <color indexed="64"/>
        </bottom>
      </border>
    </dxf>
    <dxf>
      <border diagonalUp="0" diagonalDown="0">
        <left/>
        <right/>
        <top/>
        <bottom/>
        <vertical/>
        <horizontal/>
      </border>
      <protection locked="0" hidden="0"/>
    </dxf>
  </dxfs>
  <tableStyles count="0" defaultTableStyle="TableStyleMedium2" defaultPivotStyle="PivotStyleLight16"/>
  <colors>
    <mruColors>
      <color rgb="FFC6C6C6"/>
      <color rgb="FFECFAEA"/>
      <color rgb="FFD3F3CE"/>
      <color rgb="FFF6DEF1"/>
      <color rgb="FF6C1C5B"/>
      <color rgb="FF000000"/>
      <color rgb="FFD95F02"/>
      <color rgb="FF999999"/>
      <color rgb="FF009EAA"/>
      <color rgb="FFCAB2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UNTERNEHMUNG!$A$42</c:f>
          <c:strCache>
            <c:ptCount val="1"/>
            <c:pt idx="0">
              <c:v>Entwicklung der Produktionsmengen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helper_UNTERNEHMUNG!$D$12</c:f>
              <c:strCache>
                <c:ptCount val="1"/>
                <c:pt idx="0">
                  <c:v>P1_tons</c:v>
                </c:pt>
              </c:strCache>
            </c:strRef>
          </c:tx>
          <c:spPr>
            <a:ln w="28575" cap="rnd">
              <a:solidFill>
                <a:srgbClr val="0072B2"/>
              </a:solid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2-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04-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05-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06-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helper_UNTERNEHMUNG!$E$12:$I$12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helper_UNTERNEHMUNG!$Q$12:$U$12</c15:f>
                <c15:dlblRangeCache>
                  <c:ptCount val="5"/>
                  <c:pt idx="4">
                    <c:v>P1</c:v>
                  </c:pt>
                </c15:dlblRangeCache>
              </c15:datalabelsRange>
            </c:ext>
            <c:ext xmlns:c16="http://schemas.microsoft.com/office/drawing/2014/chart" uri="{C3380CC4-5D6E-409C-BE32-E72D297353CC}">
              <c16:uniqueId val="{00000000-3004-46CD-A838-8ECD85EE5882}"/>
            </c:ext>
          </c:extLst>
        </c:ser>
        <c:ser>
          <c:idx val="1"/>
          <c:order val="1"/>
          <c:tx>
            <c:strRef>
              <c:f>helper_UNTERNEHMUNG!$D$13</c:f>
              <c:strCache>
                <c:ptCount val="1"/>
                <c:pt idx="0">
                  <c:v>P2_tons</c:v>
                </c:pt>
              </c:strCache>
            </c:strRef>
          </c:tx>
          <c:spPr>
            <a:ln w="28575" cap="rnd">
              <a:solidFill>
                <a:srgbClr val="E69F00"/>
              </a:solidFill>
              <a:round/>
            </a:ln>
            <a:effectLst/>
          </c:spPr>
          <c:marker>
            <c:symbol val="circle"/>
            <c:size val="5"/>
            <c:spPr>
              <a:solidFill>
                <a:srgbClr val="E69F00"/>
              </a:solidFill>
              <a:ln w="9525">
                <a:solidFill>
                  <a:srgbClr val="E69F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7-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08-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09-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0A-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helper_UNTERNEHMUNG!$E$13:$I$13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helper_UNTERNEHMUNG!$Q$13:$U$13</c15:f>
                <c15:dlblRangeCache>
                  <c:ptCount val="5"/>
                  <c:pt idx="4">
                    <c:v>P2</c:v>
                  </c:pt>
                </c15:dlblRangeCache>
              </c15:datalabelsRange>
            </c:ext>
            <c:ext xmlns:c16="http://schemas.microsoft.com/office/drawing/2014/chart" uri="{C3380CC4-5D6E-409C-BE32-E72D297353CC}">
              <c16:uniqueId val="{00000001-3004-46CD-A838-8ECD85EE5882}"/>
            </c:ext>
          </c:extLst>
        </c:ser>
        <c:ser>
          <c:idx val="2"/>
          <c:order val="2"/>
          <c:tx>
            <c:strRef>
              <c:f>helper_UNTERNEHMUNG!$D$14</c:f>
              <c:strCache>
                <c:ptCount val="1"/>
                <c:pt idx="0">
                  <c:v>P3_tons</c:v>
                </c:pt>
              </c:strCache>
            </c:strRef>
          </c:tx>
          <c:spPr>
            <a:ln w="28575" cap="rnd">
              <a:solidFill>
                <a:srgbClr val="009E73"/>
              </a:solidFill>
              <a:round/>
            </a:ln>
            <a:effectLst/>
          </c:spPr>
          <c:marker>
            <c:symbol val="circle"/>
            <c:size val="5"/>
            <c:spPr>
              <a:solidFill>
                <a:srgbClr val="009E73"/>
              </a:solidFill>
              <a:ln w="9525">
                <a:solidFill>
                  <a:srgbClr val="009E7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C-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0D-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0E-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0F-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helper_UNTERNEHMUNG!$E$14:$I$14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helper_UNTERNEHMUNG!$Q$14:$U$14</c15:f>
                <c15:dlblRangeCache>
                  <c:ptCount val="5"/>
                  <c:pt idx="4">
                    <c:v>P3</c:v>
                  </c:pt>
                </c15:dlblRangeCache>
              </c15:datalabelsRange>
            </c:ext>
            <c:ext xmlns:c16="http://schemas.microsoft.com/office/drawing/2014/chart" uri="{C3380CC4-5D6E-409C-BE32-E72D297353CC}">
              <c16:uniqueId val="{00000002-3004-46CD-A838-8ECD85EE5882}"/>
            </c:ext>
          </c:extLst>
        </c:ser>
        <c:ser>
          <c:idx val="3"/>
          <c:order val="3"/>
          <c:tx>
            <c:strRef>
              <c:f>helper_UNTERNEHMUNG!$D$15</c:f>
              <c:strCache>
                <c:ptCount val="1"/>
                <c:pt idx="0">
                  <c:v>P4_tons</c:v>
                </c:pt>
              </c:strCache>
            </c:strRef>
          </c:tx>
          <c:spPr>
            <a:ln w="28575" cap="rnd">
              <a:solidFill>
                <a:srgbClr val="CC79A7"/>
              </a:solidFill>
              <a:round/>
            </a:ln>
            <a:effectLst/>
          </c:spPr>
          <c:marker>
            <c:symbol val="circle"/>
            <c:size val="5"/>
            <c:spPr>
              <a:solidFill>
                <a:srgbClr val="CC79A7"/>
              </a:solidFill>
              <a:ln w="9525">
                <a:solidFill>
                  <a:srgbClr val="CC79A7"/>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1-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12-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13-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14-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helper_UNTERNEHMUNG!$E$15:$I$15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helper_UNTERNEHMUNG!$Q$15:$U$15</c15:f>
                <c15:dlblRangeCache>
                  <c:ptCount val="5"/>
                  <c:pt idx="4">
                    <c:v>P4</c:v>
                  </c:pt>
                </c15:dlblRangeCache>
              </c15:datalabelsRange>
            </c:ext>
            <c:ext xmlns:c16="http://schemas.microsoft.com/office/drawing/2014/chart" uri="{C3380CC4-5D6E-409C-BE32-E72D297353CC}">
              <c16:uniqueId val="{00000003-3004-46CD-A838-8ECD85EE5882}"/>
            </c:ext>
          </c:extLst>
        </c:ser>
        <c:ser>
          <c:idx val="4"/>
          <c:order val="4"/>
          <c:tx>
            <c:strRef>
              <c:f>helper_UNTERNEHMUNG!$D$16</c:f>
              <c:strCache>
                <c:ptCount val="1"/>
                <c:pt idx="0">
                  <c:v>P5_tons</c:v>
                </c:pt>
              </c:strCache>
            </c:strRef>
          </c:tx>
          <c:spPr>
            <a:ln w="28575" cap="rnd">
              <a:solidFill>
                <a:srgbClr val="56B4E9"/>
              </a:solidFill>
              <a:round/>
            </a:ln>
            <a:effectLst/>
          </c:spPr>
          <c:marker>
            <c:symbol val="circle"/>
            <c:size val="5"/>
            <c:spPr>
              <a:solidFill>
                <a:srgbClr val="56B4E9"/>
              </a:solidFill>
              <a:ln w="9525">
                <a:solidFill>
                  <a:srgbClr val="56B4E9"/>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6-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17-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18-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19-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helper_UNTERNEHMUNG!$E$16:$I$16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helper_UNTERNEHMUNG!$Q$16:$U$16</c15:f>
                <c15:dlblRangeCache>
                  <c:ptCount val="5"/>
                  <c:pt idx="4">
                    <c:v>P5</c:v>
                  </c:pt>
                </c15:dlblRangeCache>
              </c15:datalabelsRange>
            </c:ext>
            <c:ext xmlns:c16="http://schemas.microsoft.com/office/drawing/2014/chart" uri="{C3380CC4-5D6E-409C-BE32-E72D297353CC}">
              <c16:uniqueId val="{00000004-3004-46CD-A838-8ECD85EE5882}"/>
            </c:ext>
          </c:extLst>
        </c:ser>
        <c:ser>
          <c:idx val="5"/>
          <c:order val="5"/>
          <c:tx>
            <c:strRef>
              <c:f>helper_UNTERNEHMUNG!$D$17</c:f>
              <c:strCache>
                <c:ptCount val="1"/>
                <c:pt idx="0">
                  <c:v>P6_tons</c:v>
                </c:pt>
              </c:strCache>
            </c:strRef>
          </c:tx>
          <c:spPr>
            <a:ln w="28575" cap="rnd">
              <a:solidFill>
                <a:srgbClr val="D55E00"/>
              </a:solidFill>
              <a:round/>
            </a:ln>
            <a:effectLst/>
          </c:spPr>
          <c:marker>
            <c:symbol val="circle"/>
            <c:size val="5"/>
            <c:spPr>
              <a:solidFill>
                <a:srgbClr val="D55E00"/>
              </a:solidFill>
              <a:ln w="9525">
                <a:solidFill>
                  <a:srgbClr val="D55E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B-D1EE-4C45-84C3-7A87ABAFB19B}"/>
                </c:ext>
              </c:extLst>
            </c:dLbl>
            <c:dLbl>
              <c:idx val="1"/>
              <c:delete val="1"/>
              <c:extLst>
                <c:ext xmlns:c15="http://schemas.microsoft.com/office/drawing/2012/chart" uri="{CE6537A1-D6FC-4f65-9D91-7224C49458BB}"/>
                <c:ext xmlns:c16="http://schemas.microsoft.com/office/drawing/2014/chart" uri="{C3380CC4-5D6E-409C-BE32-E72D297353CC}">
                  <c16:uniqueId val="{0000001C-D1EE-4C45-84C3-7A87ABAFB19B}"/>
                </c:ext>
              </c:extLst>
            </c:dLbl>
            <c:dLbl>
              <c:idx val="2"/>
              <c:delete val="1"/>
              <c:extLst>
                <c:ext xmlns:c15="http://schemas.microsoft.com/office/drawing/2012/chart" uri="{CE6537A1-D6FC-4f65-9D91-7224C49458BB}"/>
                <c:ext xmlns:c16="http://schemas.microsoft.com/office/drawing/2014/chart" uri="{C3380CC4-5D6E-409C-BE32-E72D297353CC}">
                  <c16:uniqueId val="{0000001D-D1EE-4C45-84C3-7A87ABAFB19B}"/>
                </c:ext>
              </c:extLst>
            </c:dLbl>
            <c:dLbl>
              <c:idx val="3"/>
              <c:delete val="1"/>
              <c:extLst>
                <c:ext xmlns:c15="http://schemas.microsoft.com/office/drawing/2012/chart" uri="{CE6537A1-D6FC-4f65-9D91-7224C49458BB}"/>
                <c:ext xmlns:c16="http://schemas.microsoft.com/office/drawing/2014/chart" uri="{C3380CC4-5D6E-409C-BE32-E72D297353CC}">
                  <c16:uniqueId val="{0000001E-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helper_UNTERNEHMUNG!$E$17:$I$17</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helper_UNTERNEHMUNG!$Q$17:$U$17</c15:f>
                <c15:dlblRangeCache>
                  <c:ptCount val="5"/>
                  <c:pt idx="4">
                    <c:v>P6</c:v>
                  </c:pt>
                </c15:dlblRangeCache>
              </c15:datalabelsRange>
            </c:ext>
            <c:ext xmlns:c16="http://schemas.microsoft.com/office/drawing/2014/chart" uri="{C3380CC4-5D6E-409C-BE32-E72D297353CC}">
              <c16:uniqueId val="{00000005-3004-46CD-A838-8ECD85EE5882}"/>
            </c:ext>
          </c:extLst>
        </c:ser>
        <c:ser>
          <c:idx val="6"/>
          <c:order val="6"/>
          <c:tx>
            <c:strRef>
              <c:f>helper_UNTERNEHMUNG!$D$18</c:f>
              <c:strCache>
                <c:ptCount val="1"/>
                <c:pt idx="0">
                  <c:v>P7_tons</c:v>
                </c:pt>
              </c:strCache>
            </c:strRef>
          </c:tx>
          <c:spPr>
            <a:ln w="28575" cap="rnd">
              <a:solidFill>
                <a:srgbClr val="F0E442"/>
              </a:solidFill>
              <a:round/>
            </a:ln>
            <a:effectLst/>
          </c:spPr>
          <c:marker>
            <c:symbol val="circle"/>
            <c:size val="5"/>
            <c:spPr>
              <a:solidFill>
                <a:srgbClr val="F0E442"/>
              </a:solidFill>
              <a:ln w="9525">
                <a:solidFill>
                  <a:srgbClr val="F0E44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helper_UNTERNEHMUNG!$E$18:$I$18</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helper_UNTERNEHMUNG!$Q$18:$U$18</c15:f>
                <c15:dlblRangeCache>
                  <c:ptCount val="5"/>
                  <c:pt idx="4">
                    <c:v>P7</c:v>
                  </c:pt>
                </c15:dlblRangeCache>
              </c15:datalabelsRange>
            </c:ext>
            <c:ext xmlns:c16="http://schemas.microsoft.com/office/drawing/2014/chart" uri="{C3380CC4-5D6E-409C-BE32-E72D297353CC}">
              <c16:uniqueId val="{00000006-3004-46CD-A838-8ECD85EE5882}"/>
            </c:ext>
          </c:extLst>
        </c:ser>
        <c:ser>
          <c:idx val="7"/>
          <c:order val="7"/>
          <c:tx>
            <c:strRef>
              <c:f>helper_UNTERNEHMUNG!$D$19</c:f>
              <c:strCache>
                <c:ptCount val="1"/>
                <c:pt idx="0">
                  <c:v>P8_tons</c:v>
                </c:pt>
              </c:strCache>
            </c:strRef>
          </c:tx>
          <c:spPr>
            <a:ln w="28575" cap="rnd">
              <a:solidFill>
                <a:srgbClr val="332288"/>
              </a:solidFill>
              <a:round/>
            </a:ln>
            <a:effectLst/>
          </c:spPr>
          <c:marker>
            <c:symbol val="circle"/>
            <c:size val="5"/>
            <c:spPr>
              <a:solidFill>
                <a:srgbClr val="332288"/>
              </a:solidFill>
              <a:ln w="9525">
                <a:solidFill>
                  <a:srgbClr val="332288"/>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helper_UNTERNEHMUNG!$E$19:$I$19</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helper_UNTERNEHMUNG!$Q$19:$U$19</c15:f>
                <c15:dlblRangeCache>
                  <c:ptCount val="5"/>
                  <c:pt idx="4">
                    <c:v>P8</c:v>
                  </c:pt>
                </c15:dlblRangeCache>
              </c15:datalabelsRange>
            </c:ext>
            <c:ext xmlns:c16="http://schemas.microsoft.com/office/drawing/2014/chart" uri="{C3380CC4-5D6E-409C-BE32-E72D297353CC}">
              <c16:uniqueId val="{00000007-3004-46CD-A838-8ECD85EE5882}"/>
            </c:ext>
          </c:extLst>
        </c:ser>
        <c:ser>
          <c:idx val="8"/>
          <c:order val="8"/>
          <c:tx>
            <c:strRef>
              <c:f>helper_UNTERNEHMUNG!$D$20</c:f>
              <c:strCache>
                <c:ptCount val="1"/>
                <c:pt idx="0">
                  <c:v>P9_tons</c:v>
                </c:pt>
              </c:strCache>
            </c:strRef>
          </c:tx>
          <c:spPr>
            <a:ln w="28575" cap="rnd">
              <a:solidFill>
                <a:srgbClr val="FF6F61"/>
              </a:solidFill>
              <a:round/>
            </a:ln>
            <a:effectLst/>
          </c:spPr>
          <c:marker>
            <c:symbol val="circle"/>
            <c:size val="5"/>
            <c:spPr>
              <a:solidFill>
                <a:srgbClr val="FF6F61"/>
              </a:solidFill>
              <a:ln w="9525">
                <a:solidFill>
                  <a:srgbClr val="FF6F61"/>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helper_UNTERNEHMUNG!$E$20:$I$20</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helper_UNTERNEHMUNG!$Q$20:$U$20</c15:f>
                <c15:dlblRangeCache>
                  <c:ptCount val="5"/>
                  <c:pt idx="4">
                    <c:v>P9</c:v>
                  </c:pt>
                </c15:dlblRangeCache>
              </c15:datalabelsRange>
            </c:ext>
            <c:ext xmlns:c16="http://schemas.microsoft.com/office/drawing/2014/chart" uri="{C3380CC4-5D6E-409C-BE32-E72D297353CC}">
              <c16:uniqueId val="{00000008-3004-46CD-A838-8ECD85EE5882}"/>
            </c:ext>
          </c:extLst>
        </c:ser>
        <c:ser>
          <c:idx val="9"/>
          <c:order val="9"/>
          <c:tx>
            <c:strRef>
              <c:f>helper_UNTERNEHMUNG!$D$21</c:f>
              <c:strCache>
                <c:ptCount val="1"/>
                <c:pt idx="0">
                  <c:v>P10_tons</c:v>
                </c:pt>
              </c:strCache>
            </c:strRef>
          </c:tx>
          <c:spPr>
            <a:ln w="28575" cap="rnd">
              <a:solidFill>
                <a:srgbClr val="808000"/>
              </a:solidFill>
              <a:round/>
            </a:ln>
            <a:effectLst/>
          </c:spPr>
          <c:marker>
            <c:symbol val="circle"/>
            <c:size val="5"/>
            <c:spPr>
              <a:solidFill>
                <a:srgbClr val="808000"/>
              </a:solidFill>
              <a:ln w="9525">
                <a:solidFill>
                  <a:srgbClr val="808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helper_UNTERNEHMUNG!$E$21:$I$21</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helper_UNTERNEHMUNG!$Q$21:$U$21</c15:f>
                <c15:dlblRangeCache>
                  <c:ptCount val="5"/>
                  <c:pt idx="4">
                    <c:v>P10</c:v>
                  </c:pt>
                </c15:dlblRangeCache>
              </c15:datalabelsRange>
            </c:ext>
            <c:ext xmlns:c16="http://schemas.microsoft.com/office/drawing/2014/chart" uri="{C3380CC4-5D6E-409C-BE32-E72D297353CC}">
              <c16:uniqueId val="{00000009-3004-46CD-A838-8ECD85EE5882}"/>
            </c:ext>
          </c:extLst>
        </c:ser>
        <c:ser>
          <c:idx val="10"/>
          <c:order val="10"/>
          <c:tx>
            <c:strRef>
              <c:f>helper_UNTERNEHMUNG!$D$22</c:f>
              <c:strCache>
                <c:ptCount val="1"/>
                <c:pt idx="0">
                  <c:v>P11_tons</c:v>
                </c:pt>
              </c:strCache>
            </c:strRef>
          </c:tx>
          <c:spPr>
            <a:ln w="28575" cap="rnd">
              <a:solidFill>
                <a:srgbClr val="CAB2D6"/>
              </a:solidFill>
              <a:round/>
            </a:ln>
            <a:effectLst/>
          </c:spPr>
          <c:marker>
            <c:symbol val="circle"/>
            <c:size val="5"/>
            <c:spPr>
              <a:solidFill>
                <a:srgbClr val="CAB2D6"/>
              </a:solidFill>
              <a:ln w="9525">
                <a:solidFill>
                  <a:srgbClr val="CAB2D6"/>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helper_UNTERNEHMUNG!$E$22:$I$22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helper_UNTERNEHMUNG!$Q$22:$U$22</c15:f>
                <c15:dlblRangeCache>
                  <c:ptCount val="5"/>
                  <c:pt idx="4">
                    <c:v>P11</c:v>
                  </c:pt>
                </c15:dlblRangeCache>
              </c15:datalabelsRange>
            </c:ext>
            <c:ext xmlns:c16="http://schemas.microsoft.com/office/drawing/2014/chart" uri="{C3380CC4-5D6E-409C-BE32-E72D297353CC}">
              <c16:uniqueId val="{0000000A-3004-46CD-A838-8ECD85EE5882}"/>
            </c:ext>
          </c:extLst>
        </c:ser>
        <c:ser>
          <c:idx val="11"/>
          <c:order val="11"/>
          <c:tx>
            <c:strRef>
              <c:f>helper_UNTERNEHMUNG!$D$23</c:f>
              <c:strCache>
                <c:ptCount val="1"/>
                <c:pt idx="0">
                  <c:v>P12_tons</c:v>
                </c:pt>
              </c:strCache>
            </c:strRef>
          </c:tx>
          <c:spPr>
            <a:ln w="28575" cap="rnd">
              <a:solidFill>
                <a:srgbClr val="009EAA"/>
              </a:solidFill>
              <a:round/>
            </a:ln>
            <a:effectLst/>
          </c:spPr>
          <c:marker>
            <c:symbol val="circle"/>
            <c:size val="5"/>
            <c:spPr>
              <a:solidFill>
                <a:srgbClr val="009EAA"/>
              </a:solidFill>
              <a:ln w="9525">
                <a:solidFill>
                  <a:srgbClr val="009EAA"/>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B-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helper_UNTERNEHMUNG!$E$23:$I$23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helper_UNTERNEHMUNG!$Q$23:$U$23</c15:f>
                <c15:dlblRangeCache>
                  <c:ptCount val="5"/>
                  <c:pt idx="4">
                    <c:v>P12</c:v>
                  </c:pt>
                </c15:dlblRangeCache>
              </c15:datalabelsRange>
            </c:ext>
            <c:ext xmlns:c16="http://schemas.microsoft.com/office/drawing/2014/chart" uri="{C3380CC4-5D6E-409C-BE32-E72D297353CC}">
              <c16:uniqueId val="{0000000B-3004-46CD-A838-8ECD85EE5882}"/>
            </c:ext>
          </c:extLst>
        </c:ser>
        <c:ser>
          <c:idx val="12"/>
          <c:order val="12"/>
          <c:tx>
            <c:strRef>
              <c:f>helper_UNTERNEHMUNG!$D$24</c:f>
              <c:strCache>
                <c:ptCount val="1"/>
                <c:pt idx="0">
                  <c:v>P13_tons</c:v>
                </c:pt>
              </c:strCache>
            </c:strRef>
          </c:tx>
          <c:spPr>
            <a:ln w="28575" cap="rnd">
              <a:solidFill>
                <a:srgbClr val="999999"/>
              </a:solidFill>
              <a:round/>
            </a:ln>
            <a:effectLst/>
          </c:spPr>
          <c:marker>
            <c:symbol val="circle"/>
            <c:size val="5"/>
            <c:spPr>
              <a:solidFill>
                <a:srgbClr val="999999"/>
              </a:solidFill>
              <a:ln w="9525">
                <a:solidFill>
                  <a:srgbClr val="99999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1-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helper_UNTERNEHMUNG!$E$24:$I$24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helper_UNTERNEHMUNG!$Q$24:$U$24</c15:f>
                <c15:dlblRangeCache>
                  <c:ptCount val="5"/>
                  <c:pt idx="4">
                    <c:v>P13</c:v>
                  </c:pt>
                </c15:dlblRangeCache>
              </c15:datalabelsRange>
            </c:ext>
            <c:ext xmlns:c16="http://schemas.microsoft.com/office/drawing/2014/chart" uri="{C3380CC4-5D6E-409C-BE32-E72D297353CC}">
              <c16:uniqueId val="{0000000C-3004-46CD-A838-8ECD85EE5882}"/>
            </c:ext>
          </c:extLst>
        </c:ser>
        <c:ser>
          <c:idx val="13"/>
          <c:order val="13"/>
          <c:tx>
            <c:strRef>
              <c:f>helper_UNTERNEHMUNG!$D$25</c:f>
              <c:strCache>
                <c:ptCount val="1"/>
                <c:pt idx="0">
                  <c:v>P14_tons</c:v>
                </c:pt>
              </c:strCache>
            </c:strRef>
          </c:tx>
          <c:spPr>
            <a:ln w="28575" cap="rnd">
              <a:solidFill>
                <a:srgbClr val="D95F02"/>
              </a:solidFill>
              <a:round/>
            </a:ln>
            <a:effectLst/>
          </c:spPr>
          <c:marker>
            <c:symbol val="circle"/>
            <c:size val="5"/>
            <c:spPr>
              <a:solidFill>
                <a:srgbClr val="D95F02"/>
              </a:solidFill>
              <a:ln w="9525">
                <a:solidFill>
                  <a:srgbClr val="D95F0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7-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helper_UNTERNEHMUNG!$E$25:$I$25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helper_UNTERNEHMUNG!$Q$25:$U$25</c15:f>
                <c15:dlblRangeCache>
                  <c:ptCount val="5"/>
                  <c:pt idx="4">
                    <c:v>P14</c:v>
                  </c:pt>
                </c15:dlblRangeCache>
              </c15:datalabelsRange>
            </c:ext>
            <c:ext xmlns:c16="http://schemas.microsoft.com/office/drawing/2014/chart" uri="{C3380CC4-5D6E-409C-BE32-E72D297353CC}">
              <c16:uniqueId val="{0000000D-3004-46CD-A838-8ECD85EE5882}"/>
            </c:ext>
          </c:extLst>
        </c:ser>
        <c:ser>
          <c:idx val="14"/>
          <c:order val="14"/>
          <c:tx>
            <c:strRef>
              <c:f>helper_UNTERNEHMUNG!$D$26</c:f>
              <c:strCache>
                <c:ptCount val="1"/>
                <c:pt idx="0">
                  <c:v>P15_tons</c:v>
                </c:pt>
              </c:strCache>
            </c:strRef>
          </c:tx>
          <c:spPr>
            <a:ln w="28575" cap="rnd">
              <a:solidFill>
                <a:srgbClr val="000000"/>
              </a:solidFill>
              <a:round/>
            </a:ln>
            <a:effectLst/>
          </c:spPr>
          <c:marker>
            <c:symbol val="circle"/>
            <c:size val="5"/>
            <c:spPr>
              <a:solidFill>
                <a:srgbClr val="000000"/>
              </a:solidFill>
              <a:ln w="9525">
                <a:solidFill>
                  <a:srgbClr val="000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helper_UNTERNEHMUNG!$E$26:$I$26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helper_UNTERNEHMUNG!$Q$26:$U$26</c15:f>
                <c15:dlblRangeCache>
                  <c:ptCount val="5"/>
                  <c:pt idx="4">
                    <c:v>P15</c:v>
                  </c:pt>
                </c15:dlblRangeCache>
              </c15:datalabelsRange>
            </c:ext>
            <c:ext xmlns:c16="http://schemas.microsoft.com/office/drawing/2014/chart" uri="{C3380CC4-5D6E-409C-BE32-E72D297353CC}">
              <c16:uniqueId val="{0000000E-3004-46CD-A838-8ECD85EE5882}"/>
            </c:ext>
          </c:extLst>
        </c:ser>
        <c:dLbls>
          <c:dLblPos val="r"/>
          <c:showLegendKey val="0"/>
          <c:showVal val="1"/>
          <c:showCatName val="0"/>
          <c:showSerName val="0"/>
          <c:showPercent val="0"/>
          <c:showBubbleSize val="0"/>
        </c:dLbls>
        <c:marker val="1"/>
        <c:smooth val="0"/>
        <c:axId val="871251103"/>
        <c:axId val="871235263"/>
      </c:lineChart>
      <c:lineChart>
        <c:grouping val="standard"/>
        <c:varyColors val="0"/>
        <c:ser>
          <c:idx val="15"/>
          <c:order val="15"/>
          <c:tx>
            <c:strRef>
              <c:f>helper_UNTERNEHMUNG!$J$12</c:f>
              <c:strCache>
                <c:ptCount val="1"/>
                <c:pt idx="0">
                  <c:v>P1_pcs</c:v>
                </c:pt>
              </c:strCache>
            </c:strRef>
          </c:tx>
          <c:spPr>
            <a:ln w="28575" cap="rnd">
              <a:solidFill>
                <a:srgbClr val="0072B2"/>
              </a:solidFill>
              <a:prstDash val="dash"/>
              <a:round/>
            </a:ln>
            <a:effectLst/>
          </c:spPr>
          <c:marker>
            <c:symbol val="square"/>
            <c:size val="5"/>
            <c:spPr>
              <a:solidFill>
                <a:srgbClr val="0072B2"/>
              </a:solidFill>
              <a:ln w="9525">
                <a:solidFill>
                  <a:srgbClr val="0072B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D-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0-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helper_UNTERNEHMUNG!$K$12:$O$12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helper_UNTERNEHMUNG!$Q$12:$U$12</c15:f>
                <c15:dlblRangeCache>
                  <c:ptCount val="5"/>
                  <c:pt idx="4">
                    <c:v>P1</c:v>
                  </c:pt>
                </c15:dlblRangeCache>
              </c15:datalabelsRange>
            </c:ext>
            <c:ext xmlns:c16="http://schemas.microsoft.com/office/drawing/2014/chart" uri="{C3380CC4-5D6E-409C-BE32-E72D297353CC}">
              <c16:uniqueId val="{0000000F-3004-46CD-A838-8ECD85EE5882}"/>
            </c:ext>
          </c:extLst>
        </c:ser>
        <c:ser>
          <c:idx val="16"/>
          <c:order val="16"/>
          <c:tx>
            <c:strRef>
              <c:f>helper_UNTERNEHMUNG!$J$13</c:f>
              <c:strCache>
                <c:ptCount val="1"/>
                <c:pt idx="0">
                  <c:v>P2_pcs</c:v>
                </c:pt>
              </c:strCache>
            </c:strRef>
          </c:tx>
          <c:spPr>
            <a:ln w="28575" cap="rnd">
              <a:solidFill>
                <a:srgbClr val="E69F00"/>
              </a:solidFill>
              <a:prstDash val="dash"/>
              <a:round/>
            </a:ln>
            <a:effectLst/>
          </c:spPr>
          <c:marker>
            <c:symbol val="square"/>
            <c:size val="5"/>
            <c:spPr>
              <a:solidFill>
                <a:srgbClr val="E69F00"/>
              </a:solidFill>
              <a:ln w="9525">
                <a:solidFill>
                  <a:srgbClr val="E69F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3-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helper_UNTERNEHMUNG!$K$13:$O$13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helper_UNTERNEHMUNG!$Q$13:$U$13</c15:f>
                <c15:dlblRangeCache>
                  <c:ptCount val="5"/>
                  <c:pt idx="4">
                    <c:v>P2</c:v>
                  </c:pt>
                </c15:dlblRangeCache>
              </c15:datalabelsRange>
            </c:ext>
            <c:ext xmlns:c16="http://schemas.microsoft.com/office/drawing/2014/chart" uri="{C3380CC4-5D6E-409C-BE32-E72D297353CC}">
              <c16:uniqueId val="{00000010-3004-46CD-A838-8ECD85EE5882}"/>
            </c:ext>
          </c:extLst>
        </c:ser>
        <c:ser>
          <c:idx val="17"/>
          <c:order val="17"/>
          <c:tx>
            <c:strRef>
              <c:f>helper_UNTERNEHMUNG!$J$14</c:f>
              <c:strCache>
                <c:ptCount val="1"/>
                <c:pt idx="0">
                  <c:v>P3_pcs</c:v>
                </c:pt>
              </c:strCache>
            </c:strRef>
          </c:tx>
          <c:spPr>
            <a:ln w="28575" cap="rnd">
              <a:solidFill>
                <a:srgbClr val="009E73"/>
              </a:solidFill>
              <a:prstDash val="dash"/>
              <a:round/>
            </a:ln>
            <a:effectLst/>
          </c:spPr>
          <c:marker>
            <c:symbol val="square"/>
            <c:size val="5"/>
            <c:spPr>
              <a:solidFill>
                <a:srgbClr val="009E73"/>
              </a:solidFill>
              <a:ln w="9525">
                <a:solidFill>
                  <a:srgbClr val="009E73"/>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9-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helper_UNTERNEHMUNG!$K$14:$O$14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helper_UNTERNEHMUNG!$Q$14:$U$14</c15:f>
                <c15:dlblRangeCache>
                  <c:ptCount val="5"/>
                  <c:pt idx="4">
                    <c:v>P3</c:v>
                  </c:pt>
                </c15:dlblRangeCache>
              </c15:datalabelsRange>
            </c:ext>
            <c:ext xmlns:c16="http://schemas.microsoft.com/office/drawing/2014/chart" uri="{C3380CC4-5D6E-409C-BE32-E72D297353CC}">
              <c16:uniqueId val="{00000011-3004-46CD-A838-8ECD85EE5882}"/>
            </c:ext>
          </c:extLst>
        </c:ser>
        <c:ser>
          <c:idx val="18"/>
          <c:order val="18"/>
          <c:tx>
            <c:strRef>
              <c:f>helper_UNTERNEHMUNG!$J$15</c:f>
              <c:strCache>
                <c:ptCount val="1"/>
                <c:pt idx="0">
                  <c:v>P4_pcs</c:v>
                </c:pt>
              </c:strCache>
            </c:strRef>
          </c:tx>
          <c:spPr>
            <a:ln w="28575" cap="rnd">
              <a:solidFill>
                <a:srgbClr val="CC79A7"/>
              </a:solidFill>
              <a:prstDash val="dash"/>
              <a:round/>
            </a:ln>
            <a:effectLst/>
          </c:spPr>
          <c:marker>
            <c:symbol val="square"/>
            <c:size val="5"/>
            <c:spPr>
              <a:solidFill>
                <a:srgbClr val="CC79A7"/>
              </a:solidFill>
              <a:ln w="9525">
                <a:solidFill>
                  <a:srgbClr val="CC79A7"/>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F-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helper_UNTERNEHMUNG!$K$15:$O$15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helper_UNTERNEHMUNG!$Q$15:$U$15</c15:f>
                <c15:dlblRangeCache>
                  <c:ptCount val="5"/>
                  <c:pt idx="4">
                    <c:v>P4</c:v>
                  </c:pt>
                </c15:dlblRangeCache>
              </c15:datalabelsRange>
            </c:ext>
            <c:ext xmlns:c16="http://schemas.microsoft.com/office/drawing/2014/chart" uri="{C3380CC4-5D6E-409C-BE32-E72D297353CC}">
              <c16:uniqueId val="{00000012-3004-46CD-A838-8ECD85EE5882}"/>
            </c:ext>
          </c:extLst>
        </c:ser>
        <c:ser>
          <c:idx val="19"/>
          <c:order val="19"/>
          <c:tx>
            <c:strRef>
              <c:f>helper_UNTERNEHMUNG!$J$16</c:f>
              <c:strCache>
                <c:ptCount val="1"/>
                <c:pt idx="0">
                  <c:v>P5_pcs</c:v>
                </c:pt>
              </c:strCache>
            </c:strRef>
          </c:tx>
          <c:spPr>
            <a:ln w="28575" cap="rnd">
              <a:solidFill>
                <a:srgbClr val="56B4E9"/>
              </a:solidFill>
              <a:prstDash val="dash"/>
              <a:round/>
            </a:ln>
            <a:effectLst/>
          </c:spPr>
          <c:marker>
            <c:symbol val="square"/>
            <c:size val="5"/>
            <c:spPr>
              <a:solidFill>
                <a:srgbClr val="56B4E9"/>
              </a:solidFill>
              <a:ln w="9525">
                <a:solidFill>
                  <a:srgbClr val="56B4E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helper_UNTERNEHMUNG!$K$16:$O$16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helper_UNTERNEHMUNG!$Q$16:$U$16</c15:f>
                <c15:dlblRangeCache>
                  <c:ptCount val="5"/>
                  <c:pt idx="4">
                    <c:v>P5</c:v>
                  </c:pt>
                </c15:dlblRangeCache>
              </c15:datalabelsRange>
            </c:ext>
            <c:ext xmlns:c16="http://schemas.microsoft.com/office/drawing/2014/chart" uri="{C3380CC4-5D6E-409C-BE32-E72D297353CC}">
              <c16:uniqueId val="{00000013-3004-46CD-A838-8ECD85EE5882}"/>
            </c:ext>
          </c:extLst>
        </c:ser>
        <c:ser>
          <c:idx val="20"/>
          <c:order val="20"/>
          <c:tx>
            <c:strRef>
              <c:f>helper_UNTERNEHMUNG!$J$17</c:f>
              <c:strCache>
                <c:ptCount val="1"/>
                <c:pt idx="0">
                  <c:v>P6_pcs</c:v>
                </c:pt>
              </c:strCache>
            </c:strRef>
          </c:tx>
          <c:spPr>
            <a:ln w="28575" cap="rnd">
              <a:solidFill>
                <a:srgbClr val="D55E00"/>
              </a:solidFill>
              <a:prstDash val="dash"/>
              <a:round/>
            </a:ln>
            <a:effectLst/>
          </c:spPr>
          <c:marker>
            <c:symbol val="square"/>
            <c:size val="5"/>
            <c:spPr>
              <a:solidFill>
                <a:srgbClr val="D55E00"/>
              </a:solidFill>
              <a:ln w="9525">
                <a:solidFill>
                  <a:srgbClr val="D55E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5-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helper_UNTERNEHMUNG!$K$17:$O$17</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helper_UNTERNEHMUNG!$Q$17:$U$17</c15:f>
                <c15:dlblRangeCache>
                  <c:ptCount val="5"/>
                  <c:pt idx="4">
                    <c:v>P6</c:v>
                  </c:pt>
                </c15:dlblRangeCache>
              </c15:datalabelsRange>
            </c:ext>
            <c:ext xmlns:c16="http://schemas.microsoft.com/office/drawing/2014/chart" uri="{C3380CC4-5D6E-409C-BE32-E72D297353CC}">
              <c16:uniqueId val="{00000014-3004-46CD-A838-8ECD85EE5882}"/>
            </c:ext>
          </c:extLst>
        </c:ser>
        <c:ser>
          <c:idx val="21"/>
          <c:order val="21"/>
          <c:tx>
            <c:strRef>
              <c:f>helper_UNTERNEHMUNG!$J$18</c:f>
              <c:strCache>
                <c:ptCount val="1"/>
                <c:pt idx="0">
                  <c:v>P7_pcs</c:v>
                </c:pt>
              </c:strCache>
            </c:strRef>
          </c:tx>
          <c:spPr>
            <a:ln w="28575" cap="rnd">
              <a:solidFill>
                <a:srgbClr val="F0E442"/>
              </a:solidFill>
              <a:prstDash val="dash"/>
              <a:round/>
            </a:ln>
            <a:effectLst/>
          </c:spPr>
          <c:marker>
            <c:symbol val="square"/>
            <c:size val="5"/>
            <c:spPr>
              <a:solidFill>
                <a:srgbClr val="F0E442"/>
              </a:solidFill>
              <a:ln w="9525">
                <a:solidFill>
                  <a:srgbClr val="F0E44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B-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helper_UNTERNEHMUNG!$K$18:$O$18</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helper_UNTERNEHMUNG!$Q$18:$U$18</c15:f>
                <c15:dlblRangeCache>
                  <c:ptCount val="5"/>
                  <c:pt idx="4">
                    <c:v>P7</c:v>
                  </c:pt>
                </c15:dlblRangeCache>
              </c15:datalabelsRange>
            </c:ext>
            <c:ext xmlns:c16="http://schemas.microsoft.com/office/drawing/2014/chart" uri="{C3380CC4-5D6E-409C-BE32-E72D297353CC}">
              <c16:uniqueId val="{00000015-3004-46CD-A838-8ECD85EE5882}"/>
            </c:ext>
          </c:extLst>
        </c:ser>
        <c:ser>
          <c:idx val="22"/>
          <c:order val="22"/>
          <c:tx>
            <c:strRef>
              <c:f>helper_UNTERNEHMUNG!$J$19</c:f>
              <c:strCache>
                <c:ptCount val="1"/>
                <c:pt idx="0">
                  <c:v>P8_pcs</c:v>
                </c:pt>
              </c:strCache>
            </c:strRef>
          </c:tx>
          <c:spPr>
            <a:ln w="28575" cap="rnd">
              <a:solidFill>
                <a:srgbClr val="332288"/>
              </a:solidFill>
              <a:prstDash val="dash"/>
              <a:round/>
            </a:ln>
            <a:effectLst/>
          </c:spPr>
          <c:marker>
            <c:symbol val="square"/>
            <c:size val="5"/>
            <c:spPr>
              <a:solidFill>
                <a:srgbClr val="332288"/>
              </a:solidFill>
              <a:ln w="9525">
                <a:solidFill>
                  <a:srgbClr val="332288"/>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1-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helper_UNTERNEHMUNG!$K$19:$O$19</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helper_UNTERNEHMUNG!$Q$19:$U$19</c15:f>
                <c15:dlblRangeCache>
                  <c:ptCount val="5"/>
                  <c:pt idx="4">
                    <c:v>P8</c:v>
                  </c:pt>
                </c15:dlblRangeCache>
              </c15:datalabelsRange>
            </c:ext>
            <c:ext xmlns:c16="http://schemas.microsoft.com/office/drawing/2014/chart" uri="{C3380CC4-5D6E-409C-BE32-E72D297353CC}">
              <c16:uniqueId val="{00000016-3004-46CD-A838-8ECD85EE5882}"/>
            </c:ext>
          </c:extLst>
        </c:ser>
        <c:ser>
          <c:idx val="23"/>
          <c:order val="23"/>
          <c:tx>
            <c:strRef>
              <c:f>helper_UNTERNEHMUNG!$J$20</c:f>
              <c:strCache>
                <c:ptCount val="1"/>
                <c:pt idx="0">
                  <c:v>P9_pcs</c:v>
                </c:pt>
              </c:strCache>
            </c:strRef>
          </c:tx>
          <c:spPr>
            <a:ln w="28575" cap="rnd">
              <a:solidFill>
                <a:srgbClr val="FF6F61"/>
              </a:solidFill>
              <a:prstDash val="dash"/>
              <a:round/>
            </a:ln>
            <a:effectLst/>
          </c:spPr>
          <c:marker>
            <c:symbol val="square"/>
            <c:size val="5"/>
            <c:spPr>
              <a:solidFill>
                <a:srgbClr val="FF6F61"/>
              </a:solidFill>
              <a:ln w="9525">
                <a:solidFill>
                  <a:srgbClr val="FF6F61"/>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7-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helper_UNTERNEHMUNG!$K$20:$O$20</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helper_UNTERNEHMUNG!$Q$20:$U$20</c15:f>
                <c15:dlblRangeCache>
                  <c:ptCount val="5"/>
                  <c:pt idx="4">
                    <c:v>P9</c:v>
                  </c:pt>
                </c15:dlblRangeCache>
              </c15:datalabelsRange>
            </c:ext>
            <c:ext xmlns:c16="http://schemas.microsoft.com/office/drawing/2014/chart" uri="{C3380CC4-5D6E-409C-BE32-E72D297353CC}">
              <c16:uniqueId val="{00000017-3004-46CD-A838-8ECD85EE5882}"/>
            </c:ext>
          </c:extLst>
        </c:ser>
        <c:ser>
          <c:idx val="24"/>
          <c:order val="24"/>
          <c:tx>
            <c:strRef>
              <c:f>helper_UNTERNEHMUNG!$J$21</c:f>
              <c:strCache>
                <c:ptCount val="1"/>
                <c:pt idx="0">
                  <c:v>P10_pcs</c:v>
                </c:pt>
              </c:strCache>
            </c:strRef>
          </c:tx>
          <c:spPr>
            <a:ln w="28575" cap="rnd">
              <a:solidFill>
                <a:srgbClr val="808000"/>
              </a:solidFill>
              <a:prstDash val="dash"/>
              <a:round/>
            </a:ln>
            <a:effectLst/>
          </c:spPr>
          <c:marker>
            <c:symbol val="square"/>
            <c:size val="5"/>
            <c:spPr>
              <a:solidFill>
                <a:srgbClr val="808000"/>
              </a:solidFill>
              <a:ln w="9525">
                <a:solidFill>
                  <a:srgbClr val="808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D-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helper_UNTERNEHMUNG!$K$21:$O$21</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helper_UNTERNEHMUNG!$Q$21:$U$21</c15:f>
                <c15:dlblRangeCache>
                  <c:ptCount val="5"/>
                  <c:pt idx="4">
                    <c:v>P10</c:v>
                  </c:pt>
                </c15:dlblRangeCache>
              </c15:datalabelsRange>
            </c:ext>
            <c:ext xmlns:c16="http://schemas.microsoft.com/office/drawing/2014/chart" uri="{C3380CC4-5D6E-409C-BE32-E72D297353CC}">
              <c16:uniqueId val="{00000018-3004-46CD-A838-8ECD85EE5882}"/>
            </c:ext>
          </c:extLst>
        </c:ser>
        <c:ser>
          <c:idx val="25"/>
          <c:order val="25"/>
          <c:tx>
            <c:strRef>
              <c:f>helper_UNTERNEHMUNG!$J$22</c:f>
              <c:strCache>
                <c:ptCount val="1"/>
                <c:pt idx="0">
                  <c:v>P11_pcs</c:v>
                </c:pt>
              </c:strCache>
            </c:strRef>
          </c:tx>
          <c:spPr>
            <a:ln w="28575" cap="rnd">
              <a:solidFill>
                <a:srgbClr val="CAB2D6"/>
              </a:solidFill>
              <a:prstDash val="dash"/>
              <a:round/>
            </a:ln>
            <a:effectLst/>
          </c:spPr>
          <c:marker>
            <c:symbol val="square"/>
            <c:size val="5"/>
            <c:spPr>
              <a:solidFill>
                <a:srgbClr val="CAB2D6"/>
              </a:solidFill>
              <a:ln w="9525">
                <a:solidFill>
                  <a:srgbClr val="CAB2D6"/>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helper_UNTERNEHMUNG!$K$22:$O$22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helper_UNTERNEHMUNG!$Q$22:$U$22</c15:f>
                <c15:dlblRangeCache>
                  <c:ptCount val="5"/>
                  <c:pt idx="4">
                    <c:v>P11</c:v>
                  </c:pt>
                </c15:dlblRangeCache>
              </c15:datalabelsRange>
            </c:ext>
            <c:ext xmlns:c16="http://schemas.microsoft.com/office/drawing/2014/chart" uri="{C3380CC4-5D6E-409C-BE32-E72D297353CC}">
              <c16:uniqueId val="{00000019-3004-46CD-A838-8ECD85EE5882}"/>
            </c:ext>
          </c:extLst>
        </c:ser>
        <c:ser>
          <c:idx val="26"/>
          <c:order val="26"/>
          <c:tx>
            <c:strRef>
              <c:f>helper_UNTERNEHMUNG!$J$23</c:f>
              <c:strCache>
                <c:ptCount val="1"/>
                <c:pt idx="0">
                  <c:v>P12_pcs</c:v>
                </c:pt>
              </c:strCache>
            </c:strRef>
          </c:tx>
          <c:spPr>
            <a:ln w="28575" cap="rnd">
              <a:solidFill>
                <a:srgbClr val="009EAA"/>
              </a:solidFill>
              <a:prstDash val="dash"/>
              <a:round/>
            </a:ln>
            <a:effectLst/>
          </c:spPr>
          <c:marker>
            <c:symbol val="square"/>
            <c:size val="5"/>
            <c:spPr>
              <a:solidFill>
                <a:srgbClr val="009EAA"/>
              </a:solidFill>
              <a:ln w="9525">
                <a:solidFill>
                  <a:srgbClr val="009EAA"/>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3-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helper_UNTERNEHMUNG!$K$23:$O$23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helper_UNTERNEHMUNG!$Q$23:$U$23</c15:f>
                <c15:dlblRangeCache>
                  <c:ptCount val="5"/>
                  <c:pt idx="4">
                    <c:v>P12</c:v>
                  </c:pt>
                </c15:dlblRangeCache>
              </c15:datalabelsRange>
            </c:ext>
            <c:ext xmlns:c16="http://schemas.microsoft.com/office/drawing/2014/chart" uri="{C3380CC4-5D6E-409C-BE32-E72D297353CC}">
              <c16:uniqueId val="{0000001A-3004-46CD-A838-8ECD85EE5882}"/>
            </c:ext>
          </c:extLst>
        </c:ser>
        <c:ser>
          <c:idx val="27"/>
          <c:order val="27"/>
          <c:tx>
            <c:strRef>
              <c:f>helper_UNTERNEHMUNG!$J$24</c:f>
              <c:strCache>
                <c:ptCount val="1"/>
                <c:pt idx="0">
                  <c:v>P13_pcs</c:v>
                </c:pt>
              </c:strCache>
            </c:strRef>
          </c:tx>
          <c:spPr>
            <a:ln w="28575" cap="rnd">
              <a:solidFill>
                <a:srgbClr val="999999"/>
              </a:solidFill>
              <a:prstDash val="dash"/>
              <a:round/>
            </a:ln>
            <a:effectLst/>
          </c:spPr>
          <c:marker>
            <c:symbol val="square"/>
            <c:size val="5"/>
            <c:spPr>
              <a:solidFill>
                <a:srgbClr val="999999"/>
              </a:solidFill>
              <a:ln w="9525">
                <a:solidFill>
                  <a:srgbClr val="99999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9-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helper_UNTERNEHMUNG!$K$24:$O$24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helper_UNTERNEHMUNG!$Q$24:$U$24</c15:f>
                <c15:dlblRangeCache>
                  <c:ptCount val="5"/>
                  <c:pt idx="4">
                    <c:v>P13</c:v>
                  </c:pt>
                </c15:dlblRangeCache>
              </c15:datalabelsRange>
            </c:ext>
            <c:ext xmlns:c16="http://schemas.microsoft.com/office/drawing/2014/chart" uri="{C3380CC4-5D6E-409C-BE32-E72D297353CC}">
              <c16:uniqueId val="{0000001B-3004-46CD-A838-8ECD85EE5882}"/>
            </c:ext>
          </c:extLst>
        </c:ser>
        <c:ser>
          <c:idx val="28"/>
          <c:order val="28"/>
          <c:tx>
            <c:strRef>
              <c:f>helper_UNTERNEHMUNG!$J$25</c:f>
              <c:strCache>
                <c:ptCount val="1"/>
                <c:pt idx="0">
                  <c:v>P14_pcs</c:v>
                </c:pt>
              </c:strCache>
            </c:strRef>
          </c:tx>
          <c:spPr>
            <a:ln w="28575" cap="rnd">
              <a:solidFill>
                <a:srgbClr val="D95F02"/>
              </a:solidFill>
              <a:prstDash val="dash"/>
              <a:round/>
            </a:ln>
            <a:effectLst/>
          </c:spPr>
          <c:marker>
            <c:symbol val="square"/>
            <c:size val="5"/>
            <c:spPr>
              <a:solidFill>
                <a:srgbClr val="D95F02"/>
              </a:solidFill>
              <a:ln w="9525">
                <a:solidFill>
                  <a:srgbClr val="D95F0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F-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helper_UNTERNEHMUNG!$K$25:$O$25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helper_UNTERNEHMUNG!$Q$25:$U$25</c15:f>
                <c15:dlblRangeCache>
                  <c:ptCount val="5"/>
                  <c:pt idx="4">
                    <c:v>P14</c:v>
                  </c:pt>
                </c15:dlblRangeCache>
              </c15:datalabelsRange>
            </c:ext>
            <c:ext xmlns:c16="http://schemas.microsoft.com/office/drawing/2014/chart" uri="{C3380CC4-5D6E-409C-BE32-E72D297353CC}">
              <c16:uniqueId val="{0000001C-3004-46CD-A838-8ECD85EE5882}"/>
            </c:ext>
          </c:extLst>
        </c:ser>
        <c:ser>
          <c:idx val="29"/>
          <c:order val="29"/>
          <c:tx>
            <c:strRef>
              <c:f>helper_UNTERNEHMUNG!$J$26</c:f>
              <c:strCache>
                <c:ptCount val="1"/>
                <c:pt idx="0">
                  <c:v>P15_pcs</c:v>
                </c:pt>
              </c:strCache>
            </c:strRef>
          </c:tx>
          <c:spPr>
            <a:ln w="28575" cap="rnd">
              <a:solidFill>
                <a:srgbClr val="000000"/>
              </a:solidFill>
              <a:prstDash val="dash"/>
              <a:round/>
            </a:ln>
            <a:effectLst/>
          </c:spPr>
          <c:marker>
            <c:symbol val="square"/>
            <c:size val="5"/>
            <c:spPr>
              <a:solidFill>
                <a:srgbClr val="000000"/>
              </a:solidFill>
              <a:ln w="9525">
                <a:solidFill>
                  <a:srgbClr val="000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D1EE-4C45-84C3-7A87ABAFB19B}"/>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D1EE-4C45-84C3-7A87ABAFB19B}"/>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D1EE-4C45-84C3-7A87ABAFB19B}"/>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D1EE-4C45-84C3-7A87ABAFB19B}"/>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5-D1EE-4C45-84C3-7A87ABAFB19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helper_UNTERNEHMUNG!$K$26:$O$26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helper_UNTERNEHMUNG!$Q$26:$U$26</c15:f>
                <c15:dlblRangeCache>
                  <c:ptCount val="5"/>
                  <c:pt idx="4">
                    <c:v>P15</c:v>
                  </c:pt>
                </c15:dlblRangeCache>
              </c15:datalabelsRange>
            </c:ext>
            <c:ext xmlns:c16="http://schemas.microsoft.com/office/drawing/2014/chart" uri="{C3380CC4-5D6E-409C-BE32-E72D297353CC}">
              <c16:uniqueId val="{0000001D-3004-46CD-A838-8ECD85EE5882}"/>
            </c:ext>
          </c:extLst>
        </c:ser>
        <c:dLbls>
          <c:dLblPos val="r"/>
          <c:showLegendKey val="0"/>
          <c:showVal val="1"/>
          <c:showCatName val="0"/>
          <c:showSerName val="0"/>
          <c:showPercent val="0"/>
          <c:showBubbleSize val="0"/>
        </c:dLbls>
        <c:marker val="1"/>
        <c:smooth val="0"/>
        <c:axId val="1126339455"/>
        <c:axId val="1126354815"/>
      </c:lineChart>
      <c:catAx>
        <c:axId val="871251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71235263"/>
        <c:crosses val="autoZero"/>
        <c:auto val="1"/>
        <c:lblAlgn val="ctr"/>
        <c:lblOffset val="100"/>
        <c:noMultiLvlLbl val="0"/>
      </c:catAx>
      <c:valAx>
        <c:axId val="8712352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b="1"/>
                  <a:t>Produktionsmenge</a:t>
                </a:r>
                <a:r>
                  <a:rPr lang="de-AT" b="1" baseline="0"/>
                  <a:t> [t/a]</a:t>
                </a:r>
              </a:p>
              <a:p>
                <a:pPr>
                  <a:defRPr/>
                </a:pPr>
                <a:r>
                  <a:rPr lang="de-AT" baseline="0"/>
                  <a:t>durchgehend/rund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A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71251103"/>
        <c:crosses val="autoZero"/>
        <c:crossBetween val="between"/>
      </c:valAx>
      <c:valAx>
        <c:axId val="112635481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b="1"/>
                  <a:t>Produktionsmenge [pcs./a]</a:t>
                </a:r>
                <a:br>
                  <a:rPr lang="de-AT"/>
                </a:br>
                <a:r>
                  <a:rPr lang="de-AT"/>
                  <a:t>strichliert/rechteck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26339455"/>
        <c:crosses val="max"/>
        <c:crossBetween val="between"/>
      </c:valAx>
      <c:catAx>
        <c:axId val="1126339455"/>
        <c:scaling>
          <c:orientation val="minMax"/>
        </c:scaling>
        <c:delete val="1"/>
        <c:axPos val="b"/>
        <c:numFmt formatCode="General" sourceLinked="1"/>
        <c:majorTickMark val="out"/>
        <c:minorTickMark val="none"/>
        <c:tickLblPos val="nextTo"/>
        <c:crossAx val="1126354815"/>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LASTGÄNGE!$AF$5</c:f>
          <c:strCache>
            <c:ptCount val="1"/>
            <c:pt idx="0">
              <c:v>Prozess F</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LASTGÄNGE!$AF$25</c:f>
              <c:strCache>
                <c:ptCount val="1"/>
                <c:pt idx="0">
                  <c:v>Name [Einheit]</c:v>
                </c:pt>
              </c:strCache>
            </c:strRef>
          </c:tx>
          <c:spPr>
            <a:ln w="19050" cap="rnd">
              <a:solidFill>
                <a:srgbClr val="40B93C"/>
              </a:solidFill>
              <a:round/>
            </a:ln>
            <a:effectLst/>
          </c:spPr>
          <c:marker>
            <c:symbol val="none"/>
          </c:marker>
          <c:xVal>
            <c:numRef>
              <c:f>helper_LASTGÄNGE!$AF$3:$AF$201</c:f>
              <c:numCache>
                <c:formatCode>0.0</c:formatCode>
                <c:ptCount val="199"/>
                <c:pt idx="0" formatCode="General">
                  <c:v>0</c:v>
                </c:pt>
              </c:numCache>
            </c:numRef>
          </c:xVal>
          <c:yVal>
            <c:numRef>
              <c:f>helper_LASTGÄNGE!$AG$3:$AG$201</c:f>
              <c:numCache>
                <c:formatCode>General</c:formatCode>
                <c:ptCount val="199"/>
                <c:pt idx="0">
                  <c:v>0</c:v>
                </c:pt>
              </c:numCache>
            </c:numRef>
          </c:yVal>
          <c:smooth val="0"/>
          <c:extLst>
            <c:ext xmlns:c16="http://schemas.microsoft.com/office/drawing/2014/chart" uri="{C3380CC4-5D6E-409C-BE32-E72D297353CC}">
              <c16:uniqueId val="{00000000-A165-4BF0-997A-918B54D3EFBF}"/>
            </c:ext>
          </c:extLst>
        </c:ser>
        <c:ser>
          <c:idx val="2"/>
          <c:order val="1"/>
          <c:tx>
            <c:strRef>
              <c:f>LASTGÄNGE!$AH$25</c:f>
              <c:strCache>
                <c:ptCount val="1"/>
                <c:pt idx="0">
                  <c:v>Name1 [Einheit]</c:v>
                </c:pt>
              </c:strCache>
            </c:strRef>
          </c:tx>
          <c:spPr>
            <a:ln w="19050" cap="rnd">
              <a:solidFill>
                <a:srgbClr val="C6C6C6"/>
              </a:solidFill>
              <a:prstDash val="dash"/>
              <a:round/>
            </a:ln>
            <a:effectLst/>
          </c:spPr>
          <c:marker>
            <c:symbol val="none"/>
          </c:marker>
          <c:xVal>
            <c:numRef>
              <c:f>helper_LASTGÄNGE!$AF$3:$AF$201</c:f>
              <c:numCache>
                <c:formatCode>0.0</c:formatCode>
                <c:ptCount val="199"/>
                <c:pt idx="0" formatCode="General">
                  <c:v>0</c:v>
                </c:pt>
              </c:numCache>
            </c:numRef>
          </c:xVal>
          <c:yVal>
            <c:numRef>
              <c:f>helper_LASTGÄNGE!$AI$3:$AI$201</c:f>
              <c:numCache>
                <c:formatCode>0.00</c:formatCode>
                <c:ptCount val="199"/>
                <c:pt idx="0">
                  <c:v>0</c:v>
                </c:pt>
              </c:numCache>
            </c:numRef>
          </c:yVal>
          <c:smooth val="0"/>
          <c:extLst>
            <c:ext xmlns:c16="http://schemas.microsoft.com/office/drawing/2014/chart" uri="{C3380CC4-5D6E-409C-BE32-E72D297353CC}">
              <c16:uniqueId val="{00000001-A165-4BF0-997A-918B54D3EFBF}"/>
            </c:ext>
          </c:extLst>
        </c:ser>
        <c:ser>
          <c:idx val="0"/>
          <c:order val="2"/>
          <c:tx>
            <c:strRef>
              <c:f>LASTGÄNGE!$AI$25</c:f>
              <c:strCache>
                <c:ptCount val="1"/>
                <c:pt idx="0">
                  <c:v>Name2 [Einheit]</c:v>
                </c:pt>
              </c:strCache>
            </c:strRef>
          </c:tx>
          <c:spPr>
            <a:ln w="19050" cap="rnd">
              <a:solidFill>
                <a:srgbClr val="C6C6C6"/>
              </a:solidFill>
              <a:prstDash val="sysDot"/>
              <a:round/>
            </a:ln>
            <a:effectLst/>
          </c:spPr>
          <c:marker>
            <c:symbol val="none"/>
          </c:marker>
          <c:xVal>
            <c:numRef>
              <c:f>helper_LASTGÄNGE!$AF$3:$AF$201</c:f>
              <c:numCache>
                <c:formatCode>0.0</c:formatCode>
                <c:ptCount val="199"/>
                <c:pt idx="0" formatCode="General">
                  <c:v>0</c:v>
                </c:pt>
              </c:numCache>
            </c:numRef>
          </c:xVal>
          <c:yVal>
            <c:numRef>
              <c:f>helper_LASTGÄNGE!$AJ$3:$AJ$201</c:f>
              <c:numCache>
                <c:formatCode>General</c:formatCode>
                <c:ptCount val="199"/>
                <c:pt idx="0">
                  <c:v>0</c:v>
                </c:pt>
              </c:numCache>
            </c:numRef>
          </c:yVal>
          <c:smooth val="0"/>
          <c:extLst>
            <c:ext xmlns:c16="http://schemas.microsoft.com/office/drawing/2014/chart" uri="{C3380CC4-5D6E-409C-BE32-E72D297353CC}">
              <c16:uniqueId val="{00000002-A165-4BF0-997A-918B54D3EFBF}"/>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LASTGÄNGE!$AG$25</c:f>
              <c:strCache>
                <c:ptCount val="1"/>
                <c:pt idx="0">
                  <c:v>Batchsize [Stk.]</c:v>
                </c:pt>
              </c:strCache>
            </c:strRef>
          </c:tx>
          <c:spPr>
            <a:ln w="19050" cap="rnd">
              <a:solidFill>
                <a:srgbClr val="6C1C5B"/>
              </a:solidFill>
              <a:round/>
            </a:ln>
            <a:effectLst/>
          </c:spPr>
          <c:marker>
            <c:symbol val="none"/>
          </c:marker>
          <c:xVal>
            <c:numRef>
              <c:f>helper_LASTGÄNGE!$AF$3:$AF$201</c:f>
              <c:numCache>
                <c:formatCode>0.0</c:formatCode>
                <c:ptCount val="199"/>
                <c:pt idx="0" formatCode="General">
                  <c:v>0</c:v>
                </c:pt>
              </c:numCache>
            </c:numRef>
          </c:xVal>
          <c:yVal>
            <c:numRef>
              <c:f>helper_LASTGÄNGE!$AH$3:$AH$201</c:f>
              <c:numCache>
                <c:formatCode>General</c:formatCode>
                <c:ptCount val="199"/>
                <c:pt idx="0">
                  <c:v>0</c:v>
                </c:pt>
              </c:numCache>
            </c:numRef>
          </c:yVal>
          <c:smooth val="0"/>
          <c:extLst>
            <c:ext xmlns:c16="http://schemas.microsoft.com/office/drawing/2014/chart" uri="{C3380CC4-5D6E-409C-BE32-E72D297353CC}">
              <c16:uniqueId val="{00000003-A165-4BF0-997A-918B54D3EFBF}"/>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LASTGÄNGE!$AE$25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LASTGÄNGE!$AF$25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LASTGÄNGE!$AG$25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LASTGÄNGE!$AL$5</c:f>
          <c:strCache>
            <c:ptCount val="1"/>
            <c:pt idx="0">
              <c:v>Prozess G</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LASTGÄNGE!$AL$25</c:f>
              <c:strCache>
                <c:ptCount val="1"/>
                <c:pt idx="0">
                  <c:v>Name [Einheit]</c:v>
                </c:pt>
              </c:strCache>
            </c:strRef>
          </c:tx>
          <c:spPr>
            <a:ln w="19050" cap="rnd">
              <a:solidFill>
                <a:srgbClr val="40B93C"/>
              </a:solidFill>
              <a:round/>
            </a:ln>
            <a:effectLst/>
          </c:spPr>
          <c:marker>
            <c:symbol val="none"/>
          </c:marker>
          <c:xVal>
            <c:numRef>
              <c:f>helper_LASTGÄNGE!$AL$3:$AL$201</c:f>
              <c:numCache>
                <c:formatCode>0.0</c:formatCode>
                <c:ptCount val="199"/>
                <c:pt idx="0" formatCode="General">
                  <c:v>0</c:v>
                </c:pt>
              </c:numCache>
            </c:numRef>
          </c:xVal>
          <c:yVal>
            <c:numRef>
              <c:f>helper_LASTGÄNGE!$AM$3:$AM$201</c:f>
              <c:numCache>
                <c:formatCode>General</c:formatCode>
                <c:ptCount val="199"/>
                <c:pt idx="0">
                  <c:v>0</c:v>
                </c:pt>
              </c:numCache>
            </c:numRef>
          </c:yVal>
          <c:smooth val="0"/>
          <c:extLst>
            <c:ext xmlns:c16="http://schemas.microsoft.com/office/drawing/2014/chart" uri="{C3380CC4-5D6E-409C-BE32-E72D297353CC}">
              <c16:uniqueId val="{00000000-4E1D-4756-979C-C52B650B206A}"/>
            </c:ext>
          </c:extLst>
        </c:ser>
        <c:ser>
          <c:idx val="2"/>
          <c:order val="1"/>
          <c:tx>
            <c:strRef>
              <c:f>LASTGÄNGE!$AN$25</c:f>
              <c:strCache>
                <c:ptCount val="1"/>
                <c:pt idx="0">
                  <c:v>Name1 [Einheit]</c:v>
                </c:pt>
              </c:strCache>
            </c:strRef>
          </c:tx>
          <c:spPr>
            <a:ln w="19050" cap="rnd">
              <a:solidFill>
                <a:srgbClr val="C6C6C6"/>
              </a:solidFill>
              <a:prstDash val="dash"/>
              <a:round/>
            </a:ln>
            <a:effectLst/>
          </c:spPr>
          <c:marker>
            <c:symbol val="none"/>
          </c:marker>
          <c:xVal>
            <c:numRef>
              <c:f>helper_LASTGÄNGE!$AL$3:$AL$201</c:f>
              <c:numCache>
                <c:formatCode>0.0</c:formatCode>
                <c:ptCount val="199"/>
                <c:pt idx="0" formatCode="General">
                  <c:v>0</c:v>
                </c:pt>
              </c:numCache>
            </c:numRef>
          </c:xVal>
          <c:yVal>
            <c:numRef>
              <c:f>helper_LASTGÄNGE!$AO$3:$AO$201</c:f>
              <c:numCache>
                <c:formatCode>0.00</c:formatCode>
                <c:ptCount val="199"/>
                <c:pt idx="0">
                  <c:v>0</c:v>
                </c:pt>
              </c:numCache>
            </c:numRef>
          </c:yVal>
          <c:smooth val="0"/>
          <c:extLst>
            <c:ext xmlns:c16="http://schemas.microsoft.com/office/drawing/2014/chart" uri="{C3380CC4-5D6E-409C-BE32-E72D297353CC}">
              <c16:uniqueId val="{00000001-4E1D-4756-979C-C52B650B206A}"/>
            </c:ext>
          </c:extLst>
        </c:ser>
        <c:ser>
          <c:idx val="0"/>
          <c:order val="2"/>
          <c:tx>
            <c:strRef>
              <c:f>LASTGÄNGE!$AO$25</c:f>
              <c:strCache>
                <c:ptCount val="1"/>
                <c:pt idx="0">
                  <c:v>Name2 [Einheit]</c:v>
                </c:pt>
              </c:strCache>
            </c:strRef>
          </c:tx>
          <c:spPr>
            <a:ln w="19050" cap="rnd">
              <a:solidFill>
                <a:srgbClr val="C6C6C6"/>
              </a:solidFill>
              <a:prstDash val="sysDot"/>
              <a:round/>
            </a:ln>
            <a:effectLst/>
          </c:spPr>
          <c:marker>
            <c:symbol val="none"/>
          </c:marker>
          <c:xVal>
            <c:numRef>
              <c:f>helper_LASTGÄNGE!$AL$3:$AL$201</c:f>
              <c:numCache>
                <c:formatCode>0.0</c:formatCode>
                <c:ptCount val="199"/>
                <c:pt idx="0" formatCode="General">
                  <c:v>0</c:v>
                </c:pt>
              </c:numCache>
            </c:numRef>
          </c:xVal>
          <c:yVal>
            <c:numRef>
              <c:f>helper_LASTGÄNGE!$AP$3:$AP$201</c:f>
              <c:numCache>
                <c:formatCode>General</c:formatCode>
                <c:ptCount val="199"/>
                <c:pt idx="0">
                  <c:v>0</c:v>
                </c:pt>
              </c:numCache>
            </c:numRef>
          </c:yVal>
          <c:smooth val="0"/>
          <c:extLst>
            <c:ext xmlns:c16="http://schemas.microsoft.com/office/drawing/2014/chart" uri="{C3380CC4-5D6E-409C-BE32-E72D297353CC}">
              <c16:uniqueId val="{00000002-4E1D-4756-979C-C52B650B206A}"/>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LASTGÄNGE!$AM$25</c:f>
              <c:strCache>
                <c:ptCount val="1"/>
                <c:pt idx="0">
                  <c:v>Batchsize [Stk.]</c:v>
                </c:pt>
              </c:strCache>
            </c:strRef>
          </c:tx>
          <c:spPr>
            <a:ln w="19050" cap="rnd">
              <a:solidFill>
                <a:srgbClr val="6C1C5B"/>
              </a:solidFill>
              <a:round/>
            </a:ln>
            <a:effectLst/>
          </c:spPr>
          <c:marker>
            <c:symbol val="none"/>
          </c:marker>
          <c:xVal>
            <c:numRef>
              <c:f>helper_LASTGÄNGE!$AL$3:$AL$201</c:f>
              <c:numCache>
                <c:formatCode>0.0</c:formatCode>
                <c:ptCount val="199"/>
                <c:pt idx="0" formatCode="General">
                  <c:v>0</c:v>
                </c:pt>
              </c:numCache>
            </c:numRef>
          </c:xVal>
          <c:yVal>
            <c:numRef>
              <c:f>helper_LASTGÄNGE!$AN$3:$AN$201</c:f>
              <c:numCache>
                <c:formatCode>General</c:formatCode>
                <c:ptCount val="199"/>
                <c:pt idx="0">
                  <c:v>0</c:v>
                </c:pt>
              </c:numCache>
            </c:numRef>
          </c:yVal>
          <c:smooth val="0"/>
          <c:extLst>
            <c:ext xmlns:c16="http://schemas.microsoft.com/office/drawing/2014/chart" uri="{C3380CC4-5D6E-409C-BE32-E72D297353CC}">
              <c16:uniqueId val="{00000003-4E1D-4756-979C-C52B650B206A}"/>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LASTGÄNGE!$AK$25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LASTGÄNGE!$AL$25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LASTGÄNGE!$AM$25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Energiemix</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3848440025906504E-2"/>
          <c:y val="6.95449198801531E-2"/>
          <c:w val="0.88420544483441654"/>
          <c:h val="0.86746411976142035"/>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E91-4729-B661-EAB897574EF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4E91-4729-B661-EAB897574EF2}"/>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4E91-4729-B661-EAB897574EF2}"/>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4E91-4729-B661-EAB897574EF2}"/>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4E91-4729-B661-EAB897574EF2}"/>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4E91-4729-B661-EAB897574EF2}"/>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4E91-4729-B661-EAB897574EF2}"/>
              </c:ext>
            </c:extLst>
          </c:dPt>
          <c:dLbls>
            <c:spPr>
              <a:solidFill>
                <a:schemeClr val="bg1">
                  <a:alpha val="50000"/>
                </a:schemeClr>
              </a:solid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ENERGIETECHNIK!$G$24:$G$30</c:f>
              <c:numCache>
                <c:formatCode>#,##0</c:formatCode>
                <c:ptCount val="7"/>
              </c:numCache>
            </c:numRef>
          </c:val>
          <c:extLst>
            <c:ext xmlns:c16="http://schemas.microsoft.com/office/drawing/2014/chart" uri="{C3380CC4-5D6E-409C-BE32-E72D297353CC}">
              <c16:uniqueId val="{00000000-86D2-4C69-96D8-46955AF38D29}"/>
            </c:ext>
          </c:extLst>
        </c:ser>
        <c:ser>
          <c:idx val="1"/>
          <c:order val="1"/>
          <c:dPt>
            <c:idx val="0"/>
            <c:bubble3D val="0"/>
            <c:spPr>
              <a:solidFill>
                <a:schemeClr val="accent6"/>
              </a:solidFill>
              <a:ln w="19050">
                <a:solidFill>
                  <a:schemeClr val="lt1"/>
                </a:solidFill>
              </a:ln>
              <a:effectLst/>
            </c:spPr>
            <c:extLst>
              <c:ext xmlns:c16="http://schemas.microsoft.com/office/drawing/2014/chart" uri="{C3380CC4-5D6E-409C-BE32-E72D297353CC}">
                <c16:uniqueId val="{0000000F-4E91-4729-B661-EAB897574EF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11-4E91-4729-B661-EAB897574EF2}"/>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13-4E91-4729-B661-EAB897574EF2}"/>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5-4E91-4729-B661-EAB897574EF2}"/>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7-4E91-4729-B661-EAB897574EF2}"/>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9-4E91-4729-B661-EAB897574EF2}"/>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B-4E91-4729-B661-EAB897574E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ENERGIETECHNIK!$H$24:$H$30</c:f>
              <c:numCache>
                <c:formatCode>#,##0</c:formatCode>
                <c:ptCount val="7"/>
              </c:numCache>
            </c:numRef>
          </c:val>
          <c:extLst>
            <c:ext xmlns:c16="http://schemas.microsoft.com/office/drawing/2014/chart" uri="{C3380CC4-5D6E-409C-BE32-E72D297353CC}">
              <c16:uniqueId val="{00000001-86D2-4C69-96D8-46955AF38D29}"/>
            </c:ext>
          </c:extLst>
        </c:ser>
        <c:ser>
          <c:idx val="2"/>
          <c:order val="2"/>
          <c:dPt>
            <c:idx val="0"/>
            <c:bubble3D val="0"/>
            <c:spPr>
              <a:solidFill>
                <a:schemeClr val="accent6"/>
              </a:solidFill>
              <a:ln w="19050">
                <a:solidFill>
                  <a:schemeClr val="lt1"/>
                </a:solidFill>
              </a:ln>
              <a:effectLst/>
            </c:spPr>
            <c:extLst>
              <c:ext xmlns:c16="http://schemas.microsoft.com/office/drawing/2014/chart" uri="{C3380CC4-5D6E-409C-BE32-E72D297353CC}">
                <c16:uniqueId val="{0000001D-4E91-4729-B661-EAB897574EF2}"/>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1F-4E91-4729-B661-EAB897574EF2}"/>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21-4E91-4729-B661-EAB897574EF2}"/>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3-4E91-4729-B661-EAB897574EF2}"/>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5-4E91-4729-B661-EAB897574EF2}"/>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7-4E91-4729-B661-EAB897574EF2}"/>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9-4E91-4729-B661-EAB897574E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ENERGIETECHNIK!$I$24:$I$30</c:f>
              <c:numCache>
                <c:formatCode>#,##0</c:formatCode>
                <c:ptCount val="7"/>
              </c:numCache>
            </c:numRef>
          </c:val>
          <c:extLst>
            <c:ext xmlns:c16="http://schemas.microsoft.com/office/drawing/2014/chart" uri="{C3380CC4-5D6E-409C-BE32-E72D297353CC}">
              <c16:uniqueId val="{00000002-86D2-4C69-96D8-46955AF38D29}"/>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b="1">
                <a:solidFill>
                  <a:sysClr val="windowText" lastClr="000000"/>
                </a:solidFill>
              </a:rPr>
              <a:t>Energiemix</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
          <c:y val="1.4957206436152002E-2"/>
          <c:w val="1"/>
          <c:h val="0.98452851002320363"/>
        </c:manualLayout>
      </c:layout>
      <c:doughnut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5057-4AF8-A092-C52AD849CF1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5057-4AF8-A092-C52AD849CF1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5057-4AF8-A092-C52AD849CF1C}"/>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5057-4AF8-A092-C52AD849CF1C}"/>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9-5057-4AF8-A092-C52AD849CF1C}"/>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B-5057-4AF8-A092-C52AD849CF1C}"/>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5057-4AF8-A092-C52AD849CF1C}"/>
              </c:ext>
            </c:extLst>
          </c:dPt>
          <c:dLbls>
            <c:spPr>
              <a:solidFill>
                <a:schemeClr val="bg1">
                  <a:alpha val="50000"/>
                </a:schemeClr>
              </a:solidFill>
              <a:ln>
                <a:noFill/>
              </a:ln>
              <a:effectLst/>
            </c:spPr>
            <c:txPr>
              <a:bodyPr rot="0" spcFirstLastPara="1" vertOverflow="overflow" horzOverflow="overflow"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rect">
                    <a:avLst/>
                  </a:prstGeom>
                  <a:noFill/>
                  <a:ln>
                    <a:noFill/>
                  </a:ln>
                </c15:spPr>
              </c:ext>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ENERGIETECHNIK!$G$24:$G$30</c:f>
              <c:numCache>
                <c:formatCode>#,##0</c:formatCode>
                <c:ptCount val="7"/>
              </c:numCache>
            </c:numRef>
          </c:val>
          <c:extLst>
            <c:ext xmlns:c16="http://schemas.microsoft.com/office/drawing/2014/chart" uri="{C3380CC4-5D6E-409C-BE32-E72D297353CC}">
              <c16:uniqueId val="{0000000E-5057-4AF8-A092-C52AD849CF1C}"/>
            </c:ext>
          </c:extLst>
        </c:ser>
        <c:ser>
          <c:idx val="1"/>
          <c:order val="1"/>
          <c:dPt>
            <c:idx val="0"/>
            <c:bubble3D val="0"/>
            <c:spPr>
              <a:solidFill>
                <a:schemeClr val="accent6"/>
              </a:solidFill>
              <a:ln w="19050">
                <a:solidFill>
                  <a:schemeClr val="lt1"/>
                </a:solidFill>
              </a:ln>
              <a:effectLst/>
            </c:spPr>
            <c:extLst>
              <c:ext xmlns:c16="http://schemas.microsoft.com/office/drawing/2014/chart" uri="{C3380CC4-5D6E-409C-BE32-E72D297353CC}">
                <c16:uniqueId val="{00000010-5057-4AF8-A092-C52AD849CF1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12-5057-4AF8-A092-C52AD849CF1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14-5057-4AF8-A092-C52AD849CF1C}"/>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6-5057-4AF8-A092-C52AD849CF1C}"/>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8-5057-4AF8-A092-C52AD849CF1C}"/>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A-5057-4AF8-A092-C52AD849CF1C}"/>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1C-5057-4AF8-A092-C52AD849CF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ENERGIETECHNIK!$H$24:$H$30</c:f>
              <c:numCache>
                <c:formatCode>#,##0</c:formatCode>
                <c:ptCount val="7"/>
              </c:numCache>
            </c:numRef>
          </c:val>
          <c:extLst>
            <c:ext xmlns:c16="http://schemas.microsoft.com/office/drawing/2014/chart" uri="{C3380CC4-5D6E-409C-BE32-E72D297353CC}">
              <c16:uniqueId val="{0000001D-5057-4AF8-A092-C52AD849CF1C}"/>
            </c:ext>
          </c:extLst>
        </c:ser>
        <c:ser>
          <c:idx val="2"/>
          <c:order val="2"/>
          <c:dPt>
            <c:idx val="0"/>
            <c:bubble3D val="0"/>
            <c:spPr>
              <a:solidFill>
                <a:schemeClr val="accent6"/>
              </a:solidFill>
              <a:ln w="19050">
                <a:solidFill>
                  <a:schemeClr val="lt1"/>
                </a:solidFill>
              </a:ln>
              <a:effectLst/>
            </c:spPr>
            <c:extLst>
              <c:ext xmlns:c16="http://schemas.microsoft.com/office/drawing/2014/chart" uri="{C3380CC4-5D6E-409C-BE32-E72D297353CC}">
                <c16:uniqueId val="{0000001F-5057-4AF8-A092-C52AD849CF1C}"/>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21-5057-4AF8-A092-C52AD849CF1C}"/>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23-5057-4AF8-A092-C52AD849CF1C}"/>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5-5057-4AF8-A092-C52AD849CF1C}"/>
              </c:ext>
            </c:extLst>
          </c:dPt>
          <c:dPt>
            <c:idx val="4"/>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7-5057-4AF8-A092-C52AD849CF1C}"/>
              </c:ext>
            </c:extLst>
          </c:dPt>
          <c:dPt>
            <c:idx val="5"/>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9-5057-4AF8-A092-C52AD849CF1C}"/>
              </c:ext>
            </c:extLst>
          </c:dPt>
          <c:dPt>
            <c:idx val="6"/>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B-5057-4AF8-A092-C52AD849CF1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ENERGIETECHNIK!$B$24:$B$30</c:f>
              <c:strCache>
                <c:ptCount val="7"/>
                <c:pt idx="0">
                  <c:v>Strom</c:v>
                </c:pt>
                <c:pt idx="1">
                  <c:v>Gas</c:v>
                </c:pt>
                <c:pt idx="2">
                  <c:v>Mineralöl</c:v>
                </c:pt>
                <c:pt idx="3">
                  <c:v>Kohle</c:v>
                </c:pt>
                <c:pt idx="4">
                  <c:v>Alternative Brennstoffe 
(fossiler Anteil)</c:v>
                </c:pt>
                <c:pt idx="5">
                  <c:v>Alternative Brennstoffe 
(biogener Anteil)</c:v>
                </c:pt>
                <c:pt idx="6">
                  <c:v>Fernwärme</c:v>
                </c:pt>
              </c:strCache>
            </c:strRef>
          </c:cat>
          <c:val>
            <c:numRef>
              <c:f>ENERGIETECHNIK!$I$24:$I$30</c:f>
              <c:numCache>
                <c:formatCode>#,##0</c:formatCode>
                <c:ptCount val="7"/>
              </c:numCache>
            </c:numRef>
          </c:val>
          <c:extLst>
            <c:ext xmlns:c16="http://schemas.microsoft.com/office/drawing/2014/chart" uri="{C3380CC4-5D6E-409C-BE32-E72D297353CC}">
              <c16:uniqueId val="{0000002C-5057-4AF8-A092-C52AD849CF1C}"/>
            </c:ext>
          </c:extLst>
        </c:ser>
        <c:dLbls>
          <c:showLegendKey val="0"/>
          <c:showVal val="0"/>
          <c:showCatName val="1"/>
          <c:showSerName val="0"/>
          <c:showPercent val="1"/>
          <c:showBubbleSize val="0"/>
          <c:showLeaderLines val="1"/>
        </c:dLbls>
        <c:firstSliceAng val="0"/>
        <c:holeSize val="50"/>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UNTERNEHMUNG!$A$42</c:f>
          <c:strCache>
            <c:ptCount val="1"/>
            <c:pt idx="0">
              <c:v>Entwicklung der Produktionsmengen</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de-DE"/>
        </a:p>
      </c:txPr>
    </c:title>
    <c:autoTitleDeleted val="0"/>
    <c:plotArea>
      <c:layout/>
      <c:lineChart>
        <c:grouping val="standard"/>
        <c:varyColors val="0"/>
        <c:ser>
          <c:idx val="0"/>
          <c:order val="0"/>
          <c:tx>
            <c:strRef>
              <c:f>helper_UNTERNEHMUNG!$D$12</c:f>
              <c:strCache>
                <c:ptCount val="1"/>
                <c:pt idx="0">
                  <c:v>P1_tons</c:v>
                </c:pt>
              </c:strCache>
            </c:strRef>
          </c:tx>
          <c:spPr>
            <a:ln w="28575" cap="rnd">
              <a:solidFill>
                <a:srgbClr val="0072B2"/>
              </a:solid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01-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02-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03-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helper_UNTERNEHMUNG!$E$12:$I$12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helper_UNTERNEHMUNG!$Q$12:$U$12</c15:f>
                <c15:dlblRangeCache>
                  <c:ptCount val="5"/>
                  <c:pt idx="4">
                    <c:v>P1</c:v>
                  </c:pt>
                </c15:dlblRangeCache>
              </c15:datalabelsRange>
            </c:ext>
            <c:ext xmlns:c16="http://schemas.microsoft.com/office/drawing/2014/chart" uri="{C3380CC4-5D6E-409C-BE32-E72D297353CC}">
              <c16:uniqueId val="{00000005-493E-43CC-AF69-954A39633DAE}"/>
            </c:ext>
          </c:extLst>
        </c:ser>
        <c:ser>
          <c:idx val="1"/>
          <c:order val="1"/>
          <c:tx>
            <c:strRef>
              <c:f>helper_UNTERNEHMUNG!$D$13</c:f>
              <c:strCache>
                <c:ptCount val="1"/>
                <c:pt idx="0">
                  <c:v>P2_tons</c:v>
                </c:pt>
              </c:strCache>
            </c:strRef>
          </c:tx>
          <c:spPr>
            <a:ln w="28575" cap="rnd">
              <a:solidFill>
                <a:srgbClr val="E69F00"/>
              </a:solidFill>
              <a:round/>
            </a:ln>
            <a:effectLst/>
          </c:spPr>
          <c:marker>
            <c:symbol val="circle"/>
            <c:size val="5"/>
            <c:spPr>
              <a:solidFill>
                <a:srgbClr val="E69F00"/>
              </a:solidFill>
              <a:ln w="9525">
                <a:solidFill>
                  <a:srgbClr val="E69F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6-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07-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08-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09-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helper_UNTERNEHMUNG!$E$13:$I$13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helper_UNTERNEHMUNG!$Q$13:$U$13</c15:f>
                <c15:dlblRangeCache>
                  <c:ptCount val="5"/>
                  <c:pt idx="4">
                    <c:v>P2</c:v>
                  </c:pt>
                </c15:dlblRangeCache>
              </c15:datalabelsRange>
            </c:ext>
            <c:ext xmlns:c16="http://schemas.microsoft.com/office/drawing/2014/chart" uri="{C3380CC4-5D6E-409C-BE32-E72D297353CC}">
              <c16:uniqueId val="{0000000B-493E-43CC-AF69-954A39633DAE}"/>
            </c:ext>
          </c:extLst>
        </c:ser>
        <c:ser>
          <c:idx val="2"/>
          <c:order val="2"/>
          <c:tx>
            <c:strRef>
              <c:f>helper_UNTERNEHMUNG!$D$14</c:f>
              <c:strCache>
                <c:ptCount val="1"/>
                <c:pt idx="0">
                  <c:v>P3_tons</c:v>
                </c:pt>
              </c:strCache>
            </c:strRef>
          </c:tx>
          <c:spPr>
            <a:ln w="28575" cap="rnd">
              <a:solidFill>
                <a:srgbClr val="009E73"/>
              </a:solidFill>
              <a:round/>
            </a:ln>
            <a:effectLst/>
          </c:spPr>
          <c:marker>
            <c:symbol val="circle"/>
            <c:size val="5"/>
            <c:spPr>
              <a:solidFill>
                <a:srgbClr val="009E73"/>
              </a:solidFill>
              <a:ln w="9525">
                <a:solidFill>
                  <a:srgbClr val="009E73"/>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C-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0D-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0E-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0F-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helper_UNTERNEHMUNG!$E$14:$I$14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helper_UNTERNEHMUNG!$Q$14:$U$14</c15:f>
                <c15:dlblRangeCache>
                  <c:ptCount val="5"/>
                  <c:pt idx="4">
                    <c:v>P3</c:v>
                  </c:pt>
                </c15:dlblRangeCache>
              </c15:datalabelsRange>
            </c:ext>
            <c:ext xmlns:c16="http://schemas.microsoft.com/office/drawing/2014/chart" uri="{C3380CC4-5D6E-409C-BE32-E72D297353CC}">
              <c16:uniqueId val="{00000011-493E-43CC-AF69-954A39633DAE}"/>
            </c:ext>
          </c:extLst>
        </c:ser>
        <c:ser>
          <c:idx val="3"/>
          <c:order val="3"/>
          <c:tx>
            <c:strRef>
              <c:f>helper_UNTERNEHMUNG!$D$15</c:f>
              <c:strCache>
                <c:ptCount val="1"/>
                <c:pt idx="0">
                  <c:v>P4_tons</c:v>
                </c:pt>
              </c:strCache>
            </c:strRef>
          </c:tx>
          <c:spPr>
            <a:ln w="28575" cap="rnd">
              <a:solidFill>
                <a:srgbClr val="CC79A7"/>
              </a:solidFill>
              <a:round/>
            </a:ln>
            <a:effectLst/>
          </c:spPr>
          <c:marker>
            <c:symbol val="circle"/>
            <c:size val="5"/>
            <c:spPr>
              <a:solidFill>
                <a:srgbClr val="CC79A7"/>
              </a:solidFill>
              <a:ln w="9525">
                <a:solidFill>
                  <a:srgbClr val="CC79A7"/>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2-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13-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14-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15-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helper_UNTERNEHMUNG!$E$15:$I$15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helper_UNTERNEHMUNG!$Q$15:$U$15</c15:f>
                <c15:dlblRangeCache>
                  <c:ptCount val="5"/>
                  <c:pt idx="4">
                    <c:v>P4</c:v>
                  </c:pt>
                </c15:dlblRangeCache>
              </c15:datalabelsRange>
            </c:ext>
            <c:ext xmlns:c16="http://schemas.microsoft.com/office/drawing/2014/chart" uri="{C3380CC4-5D6E-409C-BE32-E72D297353CC}">
              <c16:uniqueId val="{00000017-493E-43CC-AF69-954A39633DAE}"/>
            </c:ext>
          </c:extLst>
        </c:ser>
        <c:ser>
          <c:idx val="4"/>
          <c:order val="4"/>
          <c:tx>
            <c:strRef>
              <c:f>helper_UNTERNEHMUNG!$D$16</c:f>
              <c:strCache>
                <c:ptCount val="1"/>
                <c:pt idx="0">
                  <c:v>P5_tons</c:v>
                </c:pt>
              </c:strCache>
            </c:strRef>
          </c:tx>
          <c:spPr>
            <a:ln w="28575" cap="rnd">
              <a:solidFill>
                <a:srgbClr val="56B4E9"/>
              </a:solidFill>
              <a:round/>
            </a:ln>
            <a:effectLst/>
          </c:spPr>
          <c:marker>
            <c:symbol val="circle"/>
            <c:size val="5"/>
            <c:spPr>
              <a:solidFill>
                <a:srgbClr val="56B4E9"/>
              </a:solidFill>
              <a:ln w="9525">
                <a:solidFill>
                  <a:srgbClr val="56B4E9"/>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8-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19-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1A-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1B-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helper_UNTERNEHMUNG!$E$16:$I$16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helper_UNTERNEHMUNG!$Q$16:$U$16</c15:f>
                <c15:dlblRangeCache>
                  <c:ptCount val="5"/>
                  <c:pt idx="4">
                    <c:v>P5</c:v>
                  </c:pt>
                </c15:dlblRangeCache>
              </c15:datalabelsRange>
            </c:ext>
            <c:ext xmlns:c16="http://schemas.microsoft.com/office/drawing/2014/chart" uri="{C3380CC4-5D6E-409C-BE32-E72D297353CC}">
              <c16:uniqueId val="{0000001D-493E-43CC-AF69-954A39633DAE}"/>
            </c:ext>
          </c:extLst>
        </c:ser>
        <c:ser>
          <c:idx val="5"/>
          <c:order val="5"/>
          <c:tx>
            <c:strRef>
              <c:f>helper_UNTERNEHMUNG!$D$17</c:f>
              <c:strCache>
                <c:ptCount val="1"/>
                <c:pt idx="0">
                  <c:v>P6_tons</c:v>
                </c:pt>
              </c:strCache>
            </c:strRef>
          </c:tx>
          <c:spPr>
            <a:ln w="28575" cap="rnd">
              <a:solidFill>
                <a:srgbClr val="D55E00"/>
              </a:solidFill>
              <a:round/>
            </a:ln>
            <a:effectLst/>
          </c:spPr>
          <c:marker>
            <c:symbol val="circle"/>
            <c:size val="5"/>
            <c:spPr>
              <a:solidFill>
                <a:srgbClr val="D55E00"/>
              </a:solidFill>
              <a:ln w="9525">
                <a:solidFill>
                  <a:srgbClr val="D55E00"/>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1E-493E-43CC-AF69-954A39633DAE}"/>
                </c:ext>
              </c:extLst>
            </c:dLbl>
            <c:dLbl>
              <c:idx val="1"/>
              <c:delete val="1"/>
              <c:extLst>
                <c:ext xmlns:c15="http://schemas.microsoft.com/office/drawing/2012/chart" uri="{CE6537A1-D6FC-4f65-9D91-7224C49458BB}"/>
                <c:ext xmlns:c16="http://schemas.microsoft.com/office/drawing/2014/chart" uri="{C3380CC4-5D6E-409C-BE32-E72D297353CC}">
                  <c16:uniqueId val="{0000001F-493E-43CC-AF69-954A39633DAE}"/>
                </c:ext>
              </c:extLst>
            </c:dLbl>
            <c:dLbl>
              <c:idx val="2"/>
              <c:delete val="1"/>
              <c:extLst>
                <c:ext xmlns:c15="http://schemas.microsoft.com/office/drawing/2012/chart" uri="{CE6537A1-D6FC-4f65-9D91-7224C49458BB}"/>
                <c:ext xmlns:c16="http://schemas.microsoft.com/office/drawing/2014/chart" uri="{C3380CC4-5D6E-409C-BE32-E72D297353CC}">
                  <c16:uniqueId val="{00000020-493E-43CC-AF69-954A39633DAE}"/>
                </c:ext>
              </c:extLst>
            </c:dLbl>
            <c:dLbl>
              <c:idx val="3"/>
              <c:delete val="1"/>
              <c:extLst>
                <c:ext xmlns:c15="http://schemas.microsoft.com/office/drawing/2012/chart" uri="{CE6537A1-D6FC-4f65-9D91-7224C49458BB}"/>
                <c:ext xmlns:c16="http://schemas.microsoft.com/office/drawing/2014/chart" uri="{C3380CC4-5D6E-409C-BE32-E72D297353CC}">
                  <c16:uniqueId val="{00000021-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helper_UNTERNEHMUNG!$E$17:$I$17</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helper_UNTERNEHMUNG!$Q$17:$U$17</c15:f>
                <c15:dlblRangeCache>
                  <c:ptCount val="5"/>
                  <c:pt idx="4">
                    <c:v>P6</c:v>
                  </c:pt>
                </c15:dlblRangeCache>
              </c15:datalabelsRange>
            </c:ext>
            <c:ext xmlns:c16="http://schemas.microsoft.com/office/drawing/2014/chart" uri="{C3380CC4-5D6E-409C-BE32-E72D297353CC}">
              <c16:uniqueId val="{00000023-493E-43CC-AF69-954A39633DAE}"/>
            </c:ext>
          </c:extLst>
        </c:ser>
        <c:ser>
          <c:idx val="6"/>
          <c:order val="6"/>
          <c:tx>
            <c:strRef>
              <c:f>helper_UNTERNEHMUNG!$D$18</c:f>
              <c:strCache>
                <c:ptCount val="1"/>
                <c:pt idx="0">
                  <c:v>P7_tons</c:v>
                </c:pt>
              </c:strCache>
            </c:strRef>
          </c:tx>
          <c:spPr>
            <a:ln w="28575" cap="rnd">
              <a:solidFill>
                <a:srgbClr val="F0E442"/>
              </a:solidFill>
              <a:round/>
            </a:ln>
            <a:effectLst/>
          </c:spPr>
          <c:marker>
            <c:symbol val="circle"/>
            <c:size val="5"/>
            <c:spPr>
              <a:solidFill>
                <a:srgbClr val="F0E442"/>
              </a:solidFill>
              <a:ln w="9525">
                <a:solidFill>
                  <a:srgbClr val="F0E44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helper_UNTERNEHMUNG!$E$18:$I$18</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helper_UNTERNEHMUNG!$Q$18:$U$18</c15:f>
                <c15:dlblRangeCache>
                  <c:ptCount val="5"/>
                  <c:pt idx="4">
                    <c:v>P7</c:v>
                  </c:pt>
                </c15:dlblRangeCache>
              </c15:datalabelsRange>
            </c:ext>
            <c:ext xmlns:c16="http://schemas.microsoft.com/office/drawing/2014/chart" uri="{C3380CC4-5D6E-409C-BE32-E72D297353CC}">
              <c16:uniqueId val="{00000029-493E-43CC-AF69-954A39633DAE}"/>
            </c:ext>
          </c:extLst>
        </c:ser>
        <c:ser>
          <c:idx val="7"/>
          <c:order val="7"/>
          <c:tx>
            <c:strRef>
              <c:f>helper_UNTERNEHMUNG!$D$19</c:f>
              <c:strCache>
                <c:ptCount val="1"/>
                <c:pt idx="0">
                  <c:v>P8_tons</c:v>
                </c:pt>
              </c:strCache>
            </c:strRef>
          </c:tx>
          <c:spPr>
            <a:ln w="28575" cap="rnd">
              <a:solidFill>
                <a:srgbClr val="332288"/>
              </a:solidFill>
              <a:round/>
            </a:ln>
            <a:effectLst/>
          </c:spPr>
          <c:marker>
            <c:symbol val="circle"/>
            <c:size val="5"/>
            <c:spPr>
              <a:solidFill>
                <a:srgbClr val="332288"/>
              </a:solidFill>
              <a:ln w="9525">
                <a:solidFill>
                  <a:srgbClr val="332288"/>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helper_UNTERNEHMUNG!$E$19:$I$19</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helper_UNTERNEHMUNG!$Q$19:$U$19</c15:f>
                <c15:dlblRangeCache>
                  <c:ptCount val="5"/>
                  <c:pt idx="4">
                    <c:v>P8</c:v>
                  </c:pt>
                </c15:dlblRangeCache>
              </c15:datalabelsRange>
            </c:ext>
            <c:ext xmlns:c16="http://schemas.microsoft.com/office/drawing/2014/chart" uri="{C3380CC4-5D6E-409C-BE32-E72D297353CC}">
              <c16:uniqueId val="{0000002F-493E-43CC-AF69-954A39633DAE}"/>
            </c:ext>
          </c:extLst>
        </c:ser>
        <c:ser>
          <c:idx val="8"/>
          <c:order val="8"/>
          <c:tx>
            <c:strRef>
              <c:f>helper_UNTERNEHMUNG!$D$20</c:f>
              <c:strCache>
                <c:ptCount val="1"/>
                <c:pt idx="0">
                  <c:v>P9_tons</c:v>
                </c:pt>
              </c:strCache>
            </c:strRef>
          </c:tx>
          <c:spPr>
            <a:ln w="28575" cap="rnd">
              <a:solidFill>
                <a:srgbClr val="FF6F61"/>
              </a:solidFill>
              <a:round/>
            </a:ln>
            <a:effectLst/>
          </c:spPr>
          <c:marker>
            <c:symbol val="circle"/>
            <c:size val="5"/>
            <c:spPr>
              <a:solidFill>
                <a:srgbClr val="FF6F61"/>
              </a:solidFill>
              <a:ln w="9525">
                <a:solidFill>
                  <a:srgbClr val="FF6F61"/>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helper_UNTERNEHMUNG!$E$20:$I$20</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helper_UNTERNEHMUNG!$Q$20:$U$20</c15:f>
                <c15:dlblRangeCache>
                  <c:ptCount val="5"/>
                  <c:pt idx="4">
                    <c:v>P9</c:v>
                  </c:pt>
                </c15:dlblRangeCache>
              </c15:datalabelsRange>
            </c:ext>
            <c:ext xmlns:c16="http://schemas.microsoft.com/office/drawing/2014/chart" uri="{C3380CC4-5D6E-409C-BE32-E72D297353CC}">
              <c16:uniqueId val="{00000035-493E-43CC-AF69-954A39633DAE}"/>
            </c:ext>
          </c:extLst>
        </c:ser>
        <c:ser>
          <c:idx val="9"/>
          <c:order val="9"/>
          <c:tx>
            <c:strRef>
              <c:f>helper_UNTERNEHMUNG!$D$21</c:f>
              <c:strCache>
                <c:ptCount val="1"/>
                <c:pt idx="0">
                  <c:v>P10_tons</c:v>
                </c:pt>
              </c:strCache>
            </c:strRef>
          </c:tx>
          <c:spPr>
            <a:ln w="28575" cap="rnd">
              <a:solidFill>
                <a:srgbClr val="808000"/>
              </a:solidFill>
              <a:round/>
            </a:ln>
            <a:effectLst/>
          </c:spPr>
          <c:marker>
            <c:symbol val="circle"/>
            <c:size val="5"/>
            <c:spPr>
              <a:solidFill>
                <a:srgbClr val="808000"/>
              </a:solidFill>
              <a:ln w="9525">
                <a:solidFill>
                  <a:srgbClr val="808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A-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helper_UNTERNEHMUNG!$E$21:$I$21</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helper_UNTERNEHMUNG!$Q$21:$U$21</c15:f>
                <c15:dlblRangeCache>
                  <c:ptCount val="5"/>
                  <c:pt idx="4">
                    <c:v>P10</c:v>
                  </c:pt>
                </c15:dlblRangeCache>
              </c15:datalabelsRange>
            </c:ext>
            <c:ext xmlns:c16="http://schemas.microsoft.com/office/drawing/2014/chart" uri="{C3380CC4-5D6E-409C-BE32-E72D297353CC}">
              <c16:uniqueId val="{0000003B-493E-43CC-AF69-954A39633DAE}"/>
            </c:ext>
          </c:extLst>
        </c:ser>
        <c:ser>
          <c:idx val="10"/>
          <c:order val="10"/>
          <c:tx>
            <c:strRef>
              <c:f>helper_UNTERNEHMUNG!$D$22</c:f>
              <c:strCache>
                <c:ptCount val="1"/>
                <c:pt idx="0">
                  <c:v>P11_tons</c:v>
                </c:pt>
              </c:strCache>
            </c:strRef>
          </c:tx>
          <c:spPr>
            <a:ln w="28575" cap="rnd">
              <a:solidFill>
                <a:srgbClr val="CAB2D6"/>
              </a:solidFill>
              <a:round/>
            </a:ln>
            <a:effectLst/>
          </c:spPr>
          <c:marker>
            <c:symbol val="circle"/>
            <c:size val="5"/>
            <c:spPr>
              <a:solidFill>
                <a:srgbClr val="CAB2D6"/>
              </a:solidFill>
              <a:ln w="9525">
                <a:solidFill>
                  <a:srgbClr val="CAB2D6"/>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C-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D-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E-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F-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0-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helper_UNTERNEHMUNG!$E$22:$I$22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helper_UNTERNEHMUNG!$Q$22:$U$22</c15:f>
                <c15:dlblRangeCache>
                  <c:ptCount val="5"/>
                  <c:pt idx="4">
                    <c:v>P11</c:v>
                  </c:pt>
                </c15:dlblRangeCache>
              </c15:datalabelsRange>
            </c:ext>
            <c:ext xmlns:c16="http://schemas.microsoft.com/office/drawing/2014/chart" uri="{C3380CC4-5D6E-409C-BE32-E72D297353CC}">
              <c16:uniqueId val="{00000041-493E-43CC-AF69-954A39633DAE}"/>
            </c:ext>
          </c:extLst>
        </c:ser>
        <c:ser>
          <c:idx val="11"/>
          <c:order val="11"/>
          <c:tx>
            <c:strRef>
              <c:f>helper_UNTERNEHMUNG!$D$23</c:f>
              <c:strCache>
                <c:ptCount val="1"/>
                <c:pt idx="0">
                  <c:v>P12_tons</c:v>
                </c:pt>
              </c:strCache>
            </c:strRef>
          </c:tx>
          <c:spPr>
            <a:ln w="28575" cap="rnd">
              <a:solidFill>
                <a:srgbClr val="009EAA"/>
              </a:solidFill>
              <a:round/>
            </a:ln>
            <a:effectLst/>
          </c:spPr>
          <c:marker>
            <c:symbol val="circle"/>
            <c:size val="5"/>
            <c:spPr>
              <a:solidFill>
                <a:srgbClr val="009EAA"/>
              </a:solidFill>
              <a:ln w="9525">
                <a:solidFill>
                  <a:srgbClr val="009EAA"/>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2-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3-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4-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5-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6-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helper_UNTERNEHMUNG!$E$23:$I$23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helper_UNTERNEHMUNG!$Q$23:$U$23</c15:f>
                <c15:dlblRangeCache>
                  <c:ptCount val="5"/>
                  <c:pt idx="4">
                    <c:v>P12</c:v>
                  </c:pt>
                </c15:dlblRangeCache>
              </c15:datalabelsRange>
            </c:ext>
            <c:ext xmlns:c16="http://schemas.microsoft.com/office/drawing/2014/chart" uri="{C3380CC4-5D6E-409C-BE32-E72D297353CC}">
              <c16:uniqueId val="{00000047-493E-43CC-AF69-954A39633DAE}"/>
            </c:ext>
          </c:extLst>
        </c:ser>
        <c:ser>
          <c:idx val="12"/>
          <c:order val="12"/>
          <c:tx>
            <c:strRef>
              <c:f>helper_UNTERNEHMUNG!$D$24</c:f>
              <c:strCache>
                <c:ptCount val="1"/>
                <c:pt idx="0">
                  <c:v>P13_tons</c:v>
                </c:pt>
              </c:strCache>
            </c:strRef>
          </c:tx>
          <c:spPr>
            <a:ln w="28575" cap="rnd">
              <a:solidFill>
                <a:srgbClr val="999999"/>
              </a:solidFill>
              <a:round/>
            </a:ln>
            <a:effectLst/>
          </c:spPr>
          <c:marker>
            <c:symbol val="circle"/>
            <c:size val="5"/>
            <c:spPr>
              <a:solidFill>
                <a:srgbClr val="999999"/>
              </a:solidFill>
              <a:ln w="9525">
                <a:solidFill>
                  <a:srgbClr val="99999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8-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9-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A-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B-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C-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helper_UNTERNEHMUNG!$E$24:$I$24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helper_UNTERNEHMUNG!$Q$24:$U$24</c15:f>
                <c15:dlblRangeCache>
                  <c:ptCount val="5"/>
                  <c:pt idx="4">
                    <c:v>P13</c:v>
                  </c:pt>
                </c15:dlblRangeCache>
              </c15:datalabelsRange>
            </c:ext>
            <c:ext xmlns:c16="http://schemas.microsoft.com/office/drawing/2014/chart" uri="{C3380CC4-5D6E-409C-BE32-E72D297353CC}">
              <c16:uniqueId val="{0000004D-493E-43CC-AF69-954A39633DAE}"/>
            </c:ext>
          </c:extLst>
        </c:ser>
        <c:ser>
          <c:idx val="13"/>
          <c:order val="13"/>
          <c:tx>
            <c:strRef>
              <c:f>helper_UNTERNEHMUNG!$D$25</c:f>
              <c:strCache>
                <c:ptCount val="1"/>
                <c:pt idx="0">
                  <c:v>P14_tons</c:v>
                </c:pt>
              </c:strCache>
            </c:strRef>
          </c:tx>
          <c:spPr>
            <a:ln w="28575" cap="rnd">
              <a:solidFill>
                <a:srgbClr val="D95F02"/>
              </a:solidFill>
              <a:round/>
            </a:ln>
            <a:effectLst/>
          </c:spPr>
          <c:marker>
            <c:symbol val="circle"/>
            <c:size val="5"/>
            <c:spPr>
              <a:solidFill>
                <a:srgbClr val="D95F02"/>
              </a:solidFill>
              <a:ln w="9525">
                <a:solidFill>
                  <a:srgbClr val="D95F0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E-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4F-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0-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1-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2-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helper_UNTERNEHMUNG!$E$25:$I$25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helper_UNTERNEHMUNG!$Q$25:$U$25</c15:f>
                <c15:dlblRangeCache>
                  <c:ptCount val="5"/>
                  <c:pt idx="4">
                    <c:v>P14</c:v>
                  </c:pt>
                </c15:dlblRangeCache>
              </c15:datalabelsRange>
            </c:ext>
            <c:ext xmlns:c16="http://schemas.microsoft.com/office/drawing/2014/chart" uri="{C3380CC4-5D6E-409C-BE32-E72D297353CC}">
              <c16:uniqueId val="{00000053-493E-43CC-AF69-954A39633DAE}"/>
            </c:ext>
          </c:extLst>
        </c:ser>
        <c:ser>
          <c:idx val="14"/>
          <c:order val="14"/>
          <c:tx>
            <c:strRef>
              <c:f>helper_UNTERNEHMUNG!$D$26</c:f>
              <c:strCache>
                <c:ptCount val="1"/>
                <c:pt idx="0">
                  <c:v>P15_tons</c:v>
                </c:pt>
              </c:strCache>
            </c:strRef>
          </c:tx>
          <c:spPr>
            <a:ln w="28575" cap="rnd">
              <a:solidFill>
                <a:srgbClr val="000000"/>
              </a:solidFill>
              <a:round/>
            </a:ln>
            <a:effectLst/>
          </c:spPr>
          <c:marker>
            <c:symbol val="circle"/>
            <c:size val="5"/>
            <c:spPr>
              <a:solidFill>
                <a:srgbClr val="000000"/>
              </a:solidFill>
              <a:ln w="9525">
                <a:solidFill>
                  <a:srgbClr val="000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4-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5-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6-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7-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8-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helper_UNTERNEHMUNG!$E$26:$I$26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helper_UNTERNEHMUNG!$Q$26:$U$26</c15:f>
                <c15:dlblRangeCache>
                  <c:ptCount val="5"/>
                  <c:pt idx="4">
                    <c:v>P15</c:v>
                  </c:pt>
                </c15:dlblRangeCache>
              </c15:datalabelsRange>
            </c:ext>
            <c:ext xmlns:c16="http://schemas.microsoft.com/office/drawing/2014/chart" uri="{C3380CC4-5D6E-409C-BE32-E72D297353CC}">
              <c16:uniqueId val="{00000059-493E-43CC-AF69-954A39633DAE}"/>
            </c:ext>
          </c:extLst>
        </c:ser>
        <c:dLbls>
          <c:dLblPos val="r"/>
          <c:showLegendKey val="0"/>
          <c:showVal val="1"/>
          <c:showCatName val="0"/>
          <c:showSerName val="0"/>
          <c:showPercent val="0"/>
          <c:showBubbleSize val="0"/>
        </c:dLbls>
        <c:marker val="1"/>
        <c:smooth val="0"/>
        <c:axId val="871251103"/>
        <c:axId val="871235263"/>
      </c:lineChart>
      <c:lineChart>
        <c:grouping val="standard"/>
        <c:varyColors val="0"/>
        <c:ser>
          <c:idx val="15"/>
          <c:order val="15"/>
          <c:tx>
            <c:strRef>
              <c:f>helper_UNTERNEHMUNG!$J$12</c:f>
              <c:strCache>
                <c:ptCount val="1"/>
                <c:pt idx="0">
                  <c:v>P1_pcs</c:v>
                </c:pt>
              </c:strCache>
            </c:strRef>
          </c:tx>
          <c:spPr>
            <a:ln w="28575" cap="rnd">
              <a:solidFill>
                <a:srgbClr val="0072B2"/>
              </a:solidFill>
              <a:prstDash val="dash"/>
              <a:round/>
            </a:ln>
            <a:effectLst/>
          </c:spPr>
          <c:marker>
            <c:symbol val="square"/>
            <c:size val="5"/>
            <c:spPr>
              <a:solidFill>
                <a:srgbClr val="0072B2"/>
              </a:solidFill>
              <a:ln w="9525">
                <a:solidFill>
                  <a:srgbClr val="0072B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A-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B-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C-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D-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5E-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helper_UNTERNEHMUNG!$K$12:$O$12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helper_UNTERNEHMUNG!$Q$12:$U$12</c15:f>
                <c15:dlblRangeCache>
                  <c:ptCount val="5"/>
                  <c:pt idx="4">
                    <c:v>P1</c:v>
                  </c:pt>
                </c15:dlblRangeCache>
              </c15:datalabelsRange>
            </c:ext>
            <c:ext xmlns:c16="http://schemas.microsoft.com/office/drawing/2014/chart" uri="{C3380CC4-5D6E-409C-BE32-E72D297353CC}">
              <c16:uniqueId val="{0000005F-493E-43CC-AF69-954A39633DAE}"/>
            </c:ext>
          </c:extLst>
        </c:ser>
        <c:ser>
          <c:idx val="16"/>
          <c:order val="16"/>
          <c:tx>
            <c:strRef>
              <c:f>helper_UNTERNEHMUNG!$J$13</c:f>
              <c:strCache>
                <c:ptCount val="1"/>
                <c:pt idx="0">
                  <c:v>P2_pcs</c:v>
                </c:pt>
              </c:strCache>
            </c:strRef>
          </c:tx>
          <c:spPr>
            <a:ln w="28575" cap="rnd">
              <a:solidFill>
                <a:srgbClr val="E69F00"/>
              </a:solidFill>
              <a:prstDash val="dash"/>
              <a:round/>
            </a:ln>
            <a:effectLst/>
          </c:spPr>
          <c:marker>
            <c:symbol val="square"/>
            <c:size val="5"/>
            <c:spPr>
              <a:solidFill>
                <a:srgbClr val="E69F00"/>
              </a:solidFill>
              <a:ln w="9525">
                <a:solidFill>
                  <a:srgbClr val="E69F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0-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1-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2-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3-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4-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helper_UNTERNEHMUNG!$K$13:$O$13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helper_UNTERNEHMUNG!$Q$13:$U$13</c15:f>
                <c15:dlblRangeCache>
                  <c:ptCount val="5"/>
                  <c:pt idx="4">
                    <c:v>P2</c:v>
                  </c:pt>
                </c15:dlblRangeCache>
              </c15:datalabelsRange>
            </c:ext>
            <c:ext xmlns:c16="http://schemas.microsoft.com/office/drawing/2014/chart" uri="{C3380CC4-5D6E-409C-BE32-E72D297353CC}">
              <c16:uniqueId val="{00000065-493E-43CC-AF69-954A39633DAE}"/>
            </c:ext>
          </c:extLst>
        </c:ser>
        <c:ser>
          <c:idx val="17"/>
          <c:order val="17"/>
          <c:tx>
            <c:strRef>
              <c:f>helper_UNTERNEHMUNG!$J$14</c:f>
              <c:strCache>
                <c:ptCount val="1"/>
                <c:pt idx="0">
                  <c:v>P3_pcs</c:v>
                </c:pt>
              </c:strCache>
            </c:strRef>
          </c:tx>
          <c:spPr>
            <a:ln w="28575" cap="rnd">
              <a:solidFill>
                <a:srgbClr val="009E73"/>
              </a:solidFill>
              <a:prstDash val="dash"/>
              <a:round/>
            </a:ln>
            <a:effectLst/>
          </c:spPr>
          <c:marker>
            <c:symbol val="square"/>
            <c:size val="5"/>
            <c:spPr>
              <a:solidFill>
                <a:srgbClr val="009E73"/>
              </a:solidFill>
              <a:ln w="9525">
                <a:solidFill>
                  <a:srgbClr val="009E73"/>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6-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7-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8-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9-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A-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helper_UNTERNEHMUNG!$K$14:$O$14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helper_UNTERNEHMUNG!$Q$14:$U$14</c15:f>
                <c15:dlblRangeCache>
                  <c:ptCount val="5"/>
                  <c:pt idx="4">
                    <c:v>P3</c:v>
                  </c:pt>
                </c15:dlblRangeCache>
              </c15:datalabelsRange>
            </c:ext>
            <c:ext xmlns:c16="http://schemas.microsoft.com/office/drawing/2014/chart" uri="{C3380CC4-5D6E-409C-BE32-E72D297353CC}">
              <c16:uniqueId val="{0000006B-493E-43CC-AF69-954A39633DAE}"/>
            </c:ext>
          </c:extLst>
        </c:ser>
        <c:ser>
          <c:idx val="18"/>
          <c:order val="18"/>
          <c:tx>
            <c:strRef>
              <c:f>helper_UNTERNEHMUNG!$J$15</c:f>
              <c:strCache>
                <c:ptCount val="1"/>
                <c:pt idx="0">
                  <c:v>P4_pcs</c:v>
                </c:pt>
              </c:strCache>
            </c:strRef>
          </c:tx>
          <c:spPr>
            <a:ln w="28575" cap="rnd">
              <a:solidFill>
                <a:srgbClr val="CC79A7"/>
              </a:solidFill>
              <a:prstDash val="dash"/>
              <a:round/>
            </a:ln>
            <a:effectLst/>
          </c:spPr>
          <c:marker>
            <c:symbol val="square"/>
            <c:size val="5"/>
            <c:spPr>
              <a:solidFill>
                <a:srgbClr val="CC79A7"/>
              </a:solidFill>
              <a:ln w="9525">
                <a:solidFill>
                  <a:srgbClr val="CC79A7"/>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C-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D-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E-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6F-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0-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helper_UNTERNEHMUNG!$K$15:$O$15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helper_UNTERNEHMUNG!$Q$15:$U$15</c15:f>
                <c15:dlblRangeCache>
                  <c:ptCount val="5"/>
                  <c:pt idx="4">
                    <c:v>P4</c:v>
                  </c:pt>
                </c15:dlblRangeCache>
              </c15:datalabelsRange>
            </c:ext>
            <c:ext xmlns:c16="http://schemas.microsoft.com/office/drawing/2014/chart" uri="{C3380CC4-5D6E-409C-BE32-E72D297353CC}">
              <c16:uniqueId val="{00000071-493E-43CC-AF69-954A39633DAE}"/>
            </c:ext>
          </c:extLst>
        </c:ser>
        <c:ser>
          <c:idx val="19"/>
          <c:order val="19"/>
          <c:tx>
            <c:strRef>
              <c:f>helper_UNTERNEHMUNG!$J$16</c:f>
              <c:strCache>
                <c:ptCount val="1"/>
                <c:pt idx="0">
                  <c:v>P5_pcs</c:v>
                </c:pt>
              </c:strCache>
            </c:strRef>
          </c:tx>
          <c:spPr>
            <a:ln w="28575" cap="rnd">
              <a:solidFill>
                <a:srgbClr val="56B4E9"/>
              </a:solidFill>
              <a:prstDash val="dash"/>
              <a:round/>
            </a:ln>
            <a:effectLst/>
          </c:spPr>
          <c:marker>
            <c:symbol val="square"/>
            <c:size val="5"/>
            <c:spPr>
              <a:solidFill>
                <a:srgbClr val="56B4E9"/>
              </a:solidFill>
              <a:ln w="9525">
                <a:solidFill>
                  <a:srgbClr val="56B4E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2-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3-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4-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5-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6-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helper_UNTERNEHMUNG!$K$16:$O$16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helper_UNTERNEHMUNG!$Q$16:$U$16</c15:f>
                <c15:dlblRangeCache>
                  <c:ptCount val="5"/>
                  <c:pt idx="4">
                    <c:v>P5</c:v>
                  </c:pt>
                </c15:dlblRangeCache>
              </c15:datalabelsRange>
            </c:ext>
            <c:ext xmlns:c16="http://schemas.microsoft.com/office/drawing/2014/chart" uri="{C3380CC4-5D6E-409C-BE32-E72D297353CC}">
              <c16:uniqueId val="{00000077-493E-43CC-AF69-954A39633DAE}"/>
            </c:ext>
          </c:extLst>
        </c:ser>
        <c:ser>
          <c:idx val="20"/>
          <c:order val="20"/>
          <c:tx>
            <c:strRef>
              <c:f>helper_UNTERNEHMUNG!$J$17</c:f>
              <c:strCache>
                <c:ptCount val="1"/>
                <c:pt idx="0">
                  <c:v>P6_pcs</c:v>
                </c:pt>
              </c:strCache>
            </c:strRef>
          </c:tx>
          <c:spPr>
            <a:ln w="28575" cap="rnd">
              <a:solidFill>
                <a:srgbClr val="D55E00"/>
              </a:solidFill>
              <a:prstDash val="dash"/>
              <a:round/>
            </a:ln>
            <a:effectLst/>
          </c:spPr>
          <c:marker>
            <c:symbol val="square"/>
            <c:size val="5"/>
            <c:spPr>
              <a:solidFill>
                <a:srgbClr val="D55E00"/>
              </a:solidFill>
              <a:ln w="9525">
                <a:solidFill>
                  <a:srgbClr val="D55E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8-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9-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A-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B-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C-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helper_UNTERNEHMUNG!$K$17:$O$17</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helper_UNTERNEHMUNG!$Q$17:$U$17</c15:f>
                <c15:dlblRangeCache>
                  <c:ptCount val="5"/>
                  <c:pt idx="4">
                    <c:v>P6</c:v>
                  </c:pt>
                </c15:dlblRangeCache>
              </c15:datalabelsRange>
            </c:ext>
            <c:ext xmlns:c16="http://schemas.microsoft.com/office/drawing/2014/chart" uri="{C3380CC4-5D6E-409C-BE32-E72D297353CC}">
              <c16:uniqueId val="{0000007D-493E-43CC-AF69-954A39633DAE}"/>
            </c:ext>
          </c:extLst>
        </c:ser>
        <c:ser>
          <c:idx val="21"/>
          <c:order val="21"/>
          <c:tx>
            <c:strRef>
              <c:f>helper_UNTERNEHMUNG!$J$18</c:f>
              <c:strCache>
                <c:ptCount val="1"/>
                <c:pt idx="0">
                  <c:v>P7_pcs</c:v>
                </c:pt>
              </c:strCache>
            </c:strRef>
          </c:tx>
          <c:spPr>
            <a:ln w="28575" cap="rnd">
              <a:solidFill>
                <a:srgbClr val="F0E442"/>
              </a:solidFill>
              <a:prstDash val="dash"/>
              <a:round/>
            </a:ln>
            <a:effectLst/>
          </c:spPr>
          <c:marker>
            <c:symbol val="square"/>
            <c:size val="5"/>
            <c:spPr>
              <a:solidFill>
                <a:srgbClr val="F0E442"/>
              </a:solidFill>
              <a:ln w="9525">
                <a:solidFill>
                  <a:srgbClr val="F0E44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E-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7F-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0-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1-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2-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helper_UNTERNEHMUNG!$K$18:$O$18</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helper_UNTERNEHMUNG!$Q$18:$U$18</c15:f>
                <c15:dlblRangeCache>
                  <c:ptCount val="5"/>
                  <c:pt idx="4">
                    <c:v>P7</c:v>
                  </c:pt>
                </c15:dlblRangeCache>
              </c15:datalabelsRange>
            </c:ext>
            <c:ext xmlns:c16="http://schemas.microsoft.com/office/drawing/2014/chart" uri="{C3380CC4-5D6E-409C-BE32-E72D297353CC}">
              <c16:uniqueId val="{00000083-493E-43CC-AF69-954A39633DAE}"/>
            </c:ext>
          </c:extLst>
        </c:ser>
        <c:ser>
          <c:idx val="22"/>
          <c:order val="22"/>
          <c:tx>
            <c:strRef>
              <c:f>helper_UNTERNEHMUNG!$J$19</c:f>
              <c:strCache>
                <c:ptCount val="1"/>
                <c:pt idx="0">
                  <c:v>P8_pcs</c:v>
                </c:pt>
              </c:strCache>
            </c:strRef>
          </c:tx>
          <c:spPr>
            <a:ln w="28575" cap="rnd">
              <a:solidFill>
                <a:srgbClr val="332288"/>
              </a:solidFill>
              <a:prstDash val="dash"/>
              <a:round/>
            </a:ln>
            <a:effectLst/>
          </c:spPr>
          <c:marker>
            <c:symbol val="square"/>
            <c:size val="5"/>
            <c:spPr>
              <a:solidFill>
                <a:srgbClr val="332288"/>
              </a:solidFill>
              <a:ln w="9525">
                <a:solidFill>
                  <a:srgbClr val="332288"/>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4-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5-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6-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7-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8-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helper_UNTERNEHMUNG!$K$19:$O$19</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helper_UNTERNEHMUNG!$Q$19:$U$19</c15:f>
                <c15:dlblRangeCache>
                  <c:ptCount val="5"/>
                  <c:pt idx="4">
                    <c:v>P8</c:v>
                  </c:pt>
                </c15:dlblRangeCache>
              </c15:datalabelsRange>
            </c:ext>
            <c:ext xmlns:c16="http://schemas.microsoft.com/office/drawing/2014/chart" uri="{C3380CC4-5D6E-409C-BE32-E72D297353CC}">
              <c16:uniqueId val="{00000089-493E-43CC-AF69-954A39633DAE}"/>
            </c:ext>
          </c:extLst>
        </c:ser>
        <c:ser>
          <c:idx val="23"/>
          <c:order val="23"/>
          <c:tx>
            <c:strRef>
              <c:f>helper_UNTERNEHMUNG!$J$20</c:f>
              <c:strCache>
                <c:ptCount val="1"/>
                <c:pt idx="0">
                  <c:v>P9_pcs</c:v>
                </c:pt>
              </c:strCache>
            </c:strRef>
          </c:tx>
          <c:spPr>
            <a:ln w="28575" cap="rnd">
              <a:solidFill>
                <a:srgbClr val="FF6F61"/>
              </a:solidFill>
              <a:prstDash val="dash"/>
              <a:round/>
            </a:ln>
            <a:effectLst/>
          </c:spPr>
          <c:marker>
            <c:symbol val="square"/>
            <c:size val="5"/>
            <c:spPr>
              <a:solidFill>
                <a:srgbClr val="FF6F61"/>
              </a:solidFill>
              <a:ln w="9525">
                <a:solidFill>
                  <a:srgbClr val="FF6F61"/>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A-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B-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C-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D-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8E-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helper_UNTERNEHMUNG!$K$20:$O$20</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helper_UNTERNEHMUNG!$Q$20:$U$20</c15:f>
                <c15:dlblRangeCache>
                  <c:ptCount val="5"/>
                  <c:pt idx="4">
                    <c:v>P9</c:v>
                  </c:pt>
                </c15:dlblRangeCache>
              </c15:datalabelsRange>
            </c:ext>
            <c:ext xmlns:c16="http://schemas.microsoft.com/office/drawing/2014/chart" uri="{C3380CC4-5D6E-409C-BE32-E72D297353CC}">
              <c16:uniqueId val="{0000008F-493E-43CC-AF69-954A39633DAE}"/>
            </c:ext>
          </c:extLst>
        </c:ser>
        <c:ser>
          <c:idx val="24"/>
          <c:order val="24"/>
          <c:tx>
            <c:strRef>
              <c:f>helper_UNTERNEHMUNG!$J$21</c:f>
              <c:strCache>
                <c:ptCount val="1"/>
                <c:pt idx="0">
                  <c:v>P10_pcs</c:v>
                </c:pt>
              </c:strCache>
            </c:strRef>
          </c:tx>
          <c:spPr>
            <a:ln w="28575" cap="rnd">
              <a:solidFill>
                <a:srgbClr val="808000"/>
              </a:solidFill>
              <a:prstDash val="dash"/>
              <a:round/>
            </a:ln>
            <a:effectLst/>
          </c:spPr>
          <c:marker>
            <c:symbol val="square"/>
            <c:size val="5"/>
            <c:spPr>
              <a:solidFill>
                <a:srgbClr val="808000"/>
              </a:solidFill>
              <a:ln w="9525">
                <a:solidFill>
                  <a:srgbClr val="808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0-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1-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2-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3-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4-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helper_UNTERNEHMUNG!$K$21:$O$21</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helper_UNTERNEHMUNG!$Q$21:$U$21</c15:f>
                <c15:dlblRangeCache>
                  <c:ptCount val="5"/>
                  <c:pt idx="4">
                    <c:v>P10</c:v>
                  </c:pt>
                </c15:dlblRangeCache>
              </c15:datalabelsRange>
            </c:ext>
            <c:ext xmlns:c16="http://schemas.microsoft.com/office/drawing/2014/chart" uri="{C3380CC4-5D6E-409C-BE32-E72D297353CC}">
              <c16:uniqueId val="{00000095-493E-43CC-AF69-954A39633DAE}"/>
            </c:ext>
          </c:extLst>
        </c:ser>
        <c:ser>
          <c:idx val="25"/>
          <c:order val="25"/>
          <c:tx>
            <c:strRef>
              <c:f>helper_UNTERNEHMUNG!$J$22</c:f>
              <c:strCache>
                <c:ptCount val="1"/>
                <c:pt idx="0">
                  <c:v>P11_pcs</c:v>
                </c:pt>
              </c:strCache>
            </c:strRef>
          </c:tx>
          <c:spPr>
            <a:ln w="28575" cap="rnd">
              <a:solidFill>
                <a:srgbClr val="CAB2D6"/>
              </a:solidFill>
              <a:prstDash val="dash"/>
              <a:round/>
            </a:ln>
            <a:effectLst/>
          </c:spPr>
          <c:marker>
            <c:symbol val="square"/>
            <c:size val="5"/>
            <c:spPr>
              <a:solidFill>
                <a:srgbClr val="CAB2D6"/>
              </a:solidFill>
              <a:ln w="9525">
                <a:solidFill>
                  <a:srgbClr val="CAB2D6"/>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6-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7-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8-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9-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A-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helper_UNTERNEHMUNG!$K$22:$O$22</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helper_UNTERNEHMUNG!$Q$22:$U$22</c15:f>
                <c15:dlblRangeCache>
                  <c:ptCount val="5"/>
                  <c:pt idx="4">
                    <c:v>P11</c:v>
                  </c:pt>
                </c15:dlblRangeCache>
              </c15:datalabelsRange>
            </c:ext>
            <c:ext xmlns:c16="http://schemas.microsoft.com/office/drawing/2014/chart" uri="{C3380CC4-5D6E-409C-BE32-E72D297353CC}">
              <c16:uniqueId val="{0000009B-493E-43CC-AF69-954A39633DAE}"/>
            </c:ext>
          </c:extLst>
        </c:ser>
        <c:ser>
          <c:idx val="26"/>
          <c:order val="26"/>
          <c:tx>
            <c:strRef>
              <c:f>helper_UNTERNEHMUNG!$J$23</c:f>
              <c:strCache>
                <c:ptCount val="1"/>
                <c:pt idx="0">
                  <c:v>P12_pcs</c:v>
                </c:pt>
              </c:strCache>
            </c:strRef>
          </c:tx>
          <c:spPr>
            <a:ln w="28575" cap="rnd">
              <a:solidFill>
                <a:srgbClr val="009EAA"/>
              </a:solidFill>
              <a:prstDash val="dash"/>
              <a:round/>
            </a:ln>
            <a:effectLst/>
          </c:spPr>
          <c:marker>
            <c:symbol val="square"/>
            <c:size val="5"/>
            <c:spPr>
              <a:solidFill>
                <a:srgbClr val="009EAA"/>
              </a:solidFill>
              <a:ln w="9525">
                <a:solidFill>
                  <a:srgbClr val="009EAA"/>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C-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D-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E-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9F-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0-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helper_UNTERNEHMUNG!$K$23:$O$23</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helper_UNTERNEHMUNG!$Q$23:$U$23</c15:f>
                <c15:dlblRangeCache>
                  <c:ptCount val="5"/>
                  <c:pt idx="4">
                    <c:v>P12</c:v>
                  </c:pt>
                </c15:dlblRangeCache>
              </c15:datalabelsRange>
            </c:ext>
            <c:ext xmlns:c16="http://schemas.microsoft.com/office/drawing/2014/chart" uri="{C3380CC4-5D6E-409C-BE32-E72D297353CC}">
              <c16:uniqueId val="{000000A1-493E-43CC-AF69-954A39633DAE}"/>
            </c:ext>
          </c:extLst>
        </c:ser>
        <c:ser>
          <c:idx val="27"/>
          <c:order val="27"/>
          <c:tx>
            <c:strRef>
              <c:f>helper_UNTERNEHMUNG!$J$24</c:f>
              <c:strCache>
                <c:ptCount val="1"/>
                <c:pt idx="0">
                  <c:v>P13_pcs</c:v>
                </c:pt>
              </c:strCache>
            </c:strRef>
          </c:tx>
          <c:spPr>
            <a:ln w="28575" cap="rnd">
              <a:solidFill>
                <a:srgbClr val="999999"/>
              </a:solidFill>
              <a:prstDash val="dash"/>
              <a:round/>
            </a:ln>
            <a:effectLst/>
          </c:spPr>
          <c:marker>
            <c:symbol val="square"/>
            <c:size val="5"/>
            <c:spPr>
              <a:solidFill>
                <a:srgbClr val="999999"/>
              </a:solidFill>
              <a:ln w="9525">
                <a:solidFill>
                  <a:srgbClr val="999999"/>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2-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3-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4-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5-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6-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helper_UNTERNEHMUNG!$K$24:$O$24</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helper_UNTERNEHMUNG!$Q$24:$U$24</c15:f>
                <c15:dlblRangeCache>
                  <c:ptCount val="5"/>
                  <c:pt idx="4">
                    <c:v>P13</c:v>
                  </c:pt>
                </c15:dlblRangeCache>
              </c15:datalabelsRange>
            </c:ext>
            <c:ext xmlns:c16="http://schemas.microsoft.com/office/drawing/2014/chart" uri="{C3380CC4-5D6E-409C-BE32-E72D297353CC}">
              <c16:uniqueId val="{000000A7-493E-43CC-AF69-954A39633DAE}"/>
            </c:ext>
          </c:extLst>
        </c:ser>
        <c:ser>
          <c:idx val="28"/>
          <c:order val="28"/>
          <c:tx>
            <c:strRef>
              <c:f>helper_UNTERNEHMUNG!$J$25</c:f>
              <c:strCache>
                <c:ptCount val="1"/>
                <c:pt idx="0">
                  <c:v>P14_pcs</c:v>
                </c:pt>
              </c:strCache>
            </c:strRef>
          </c:tx>
          <c:spPr>
            <a:ln w="28575" cap="rnd">
              <a:solidFill>
                <a:srgbClr val="D95F02"/>
              </a:solidFill>
              <a:prstDash val="dash"/>
              <a:round/>
            </a:ln>
            <a:effectLst/>
          </c:spPr>
          <c:marker>
            <c:symbol val="square"/>
            <c:size val="5"/>
            <c:spPr>
              <a:solidFill>
                <a:srgbClr val="D95F02"/>
              </a:solidFill>
              <a:ln w="9525">
                <a:solidFill>
                  <a:srgbClr val="D95F02"/>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8-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9-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A-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B-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C-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helper_UNTERNEHMUNG!$K$25:$O$25</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helper_UNTERNEHMUNG!$Q$25:$U$25</c15:f>
                <c15:dlblRangeCache>
                  <c:ptCount val="5"/>
                  <c:pt idx="4">
                    <c:v>P14</c:v>
                  </c:pt>
                </c15:dlblRangeCache>
              </c15:datalabelsRange>
            </c:ext>
            <c:ext xmlns:c16="http://schemas.microsoft.com/office/drawing/2014/chart" uri="{C3380CC4-5D6E-409C-BE32-E72D297353CC}">
              <c16:uniqueId val="{000000AD-493E-43CC-AF69-954A39633DAE}"/>
            </c:ext>
          </c:extLst>
        </c:ser>
        <c:ser>
          <c:idx val="29"/>
          <c:order val="29"/>
          <c:tx>
            <c:strRef>
              <c:f>helper_UNTERNEHMUNG!$J$26</c:f>
              <c:strCache>
                <c:ptCount val="1"/>
                <c:pt idx="0">
                  <c:v>P15_pcs</c:v>
                </c:pt>
              </c:strCache>
            </c:strRef>
          </c:tx>
          <c:spPr>
            <a:ln w="28575" cap="rnd">
              <a:solidFill>
                <a:srgbClr val="000000"/>
              </a:solidFill>
              <a:prstDash val="dash"/>
              <a:round/>
            </a:ln>
            <a:effectLst/>
          </c:spPr>
          <c:marker>
            <c:symbol val="square"/>
            <c:size val="5"/>
            <c:spPr>
              <a:solidFill>
                <a:srgbClr val="000000"/>
              </a:solidFill>
              <a:ln w="9525">
                <a:solidFill>
                  <a:srgbClr val="000000"/>
                </a:solidFill>
              </a:ln>
              <a:effectLst/>
            </c:spPr>
          </c:marker>
          <c:dLbls>
            <c:dLbl>
              <c:idx val="0"/>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E-493E-43CC-AF69-954A39633DAE}"/>
                </c:ext>
              </c:extLst>
            </c:dLbl>
            <c:dLbl>
              <c:idx val="1"/>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AF-493E-43CC-AF69-954A39633DAE}"/>
                </c:ext>
              </c:extLst>
            </c:dLbl>
            <c:dLbl>
              <c:idx val="2"/>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0-493E-43CC-AF69-954A39633DAE}"/>
                </c:ext>
              </c:extLst>
            </c:dLbl>
            <c:dLbl>
              <c:idx val="3"/>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1-493E-43CC-AF69-954A39633DAE}"/>
                </c:ext>
              </c:extLst>
            </c:dLbl>
            <c:dLbl>
              <c:idx val="4"/>
              <c:tx>
                <c:rich>
                  <a:bodyPr/>
                  <a:lstStyle/>
                  <a:p>
                    <a:endParaRPr lang="de-AT"/>
                  </a:p>
                </c:rich>
              </c:tx>
              <c:dLblPos val="r"/>
              <c:showLegendKey val="1"/>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B2-493E-43CC-AF69-954A39633D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r"/>
            <c:showLegendKey val="1"/>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helper_UNTERNEHMUNG!$E$11:$I$11</c:f>
              <c:numCache>
                <c:formatCode>General</c:formatCode>
                <c:ptCount val="5"/>
                <c:pt idx="0">
                  <c:v>2021</c:v>
                </c:pt>
                <c:pt idx="1">
                  <c:v>2022</c:v>
                </c:pt>
                <c:pt idx="2">
                  <c:v>2023</c:v>
                </c:pt>
                <c:pt idx="3">
                  <c:v>2024</c:v>
                </c:pt>
                <c:pt idx="4">
                  <c:v>2025</c:v>
                </c:pt>
              </c:numCache>
            </c:numRef>
          </c:cat>
          <c:val>
            <c:numRef>
              <c:f>helper_UNTERNEHMUNG!$K$26:$O$26</c:f>
              <c:numCache>
                <c:formatCode>General</c:formatCode>
                <c:ptCount val="5"/>
                <c:pt idx="0">
                  <c:v>#N/A</c:v>
                </c:pt>
                <c:pt idx="1">
                  <c:v>#N/A</c:v>
                </c:pt>
                <c:pt idx="2">
                  <c:v>#N/A</c:v>
                </c:pt>
                <c:pt idx="3">
                  <c:v>#N/A</c:v>
                </c:pt>
                <c:pt idx="4">
                  <c:v>#N/A</c:v>
                </c:pt>
              </c:numCache>
            </c:numRef>
          </c:val>
          <c:smooth val="0"/>
          <c:extLst>
            <c:ext xmlns:c15="http://schemas.microsoft.com/office/drawing/2012/chart" uri="{02D57815-91ED-43cb-92C2-25804820EDAC}">
              <c15:datalabelsRange>
                <c15:f>helper_UNTERNEHMUNG!$Q$26:$U$26</c15:f>
                <c15:dlblRangeCache>
                  <c:ptCount val="5"/>
                  <c:pt idx="4">
                    <c:v>P15</c:v>
                  </c:pt>
                </c15:dlblRangeCache>
              </c15:datalabelsRange>
            </c:ext>
            <c:ext xmlns:c16="http://schemas.microsoft.com/office/drawing/2014/chart" uri="{C3380CC4-5D6E-409C-BE32-E72D297353CC}">
              <c16:uniqueId val="{000000B3-493E-43CC-AF69-954A39633DAE}"/>
            </c:ext>
          </c:extLst>
        </c:ser>
        <c:dLbls>
          <c:dLblPos val="r"/>
          <c:showLegendKey val="0"/>
          <c:showVal val="1"/>
          <c:showCatName val="0"/>
          <c:showSerName val="0"/>
          <c:showPercent val="0"/>
          <c:showBubbleSize val="0"/>
        </c:dLbls>
        <c:marker val="1"/>
        <c:smooth val="0"/>
        <c:axId val="1126339455"/>
        <c:axId val="1126354815"/>
      </c:lineChart>
      <c:catAx>
        <c:axId val="871251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71235263"/>
        <c:crosses val="autoZero"/>
        <c:auto val="1"/>
        <c:lblAlgn val="ctr"/>
        <c:lblOffset val="100"/>
        <c:noMultiLvlLbl val="0"/>
      </c:catAx>
      <c:valAx>
        <c:axId val="8712352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b="1"/>
                  <a:t>Produktionsmenge</a:t>
                </a:r>
                <a:r>
                  <a:rPr lang="de-AT" b="1" baseline="0"/>
                  <a:t> [t/a]</a:t>
                </a:r>
              </a:p>
              <a:p>
                <a:pPr>
                  <a:defRPr/>
                </a:pPr>
                <a:r>
                  <a:rPr lang="de-AT" baseline="0"/>
                  <a:t>durchgehend/rund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AT"/>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71251103"/>
        <c:crosses val="autoZero"/>
        <c:crossBetween val="between"/>
      </c:valAx>
      <c:valAx>
        <c:axId val="112635481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AT" b="1"/>
                  <a:t>Produktionsmenge [pcs./a]</a:t>
                </a:r>
                <a:br>
                  <a:rPr lang="de-AT"/>
                </a:br>
                <a:r>
                  <a:rPr lang="de-AT"/>
                  <a:t>strichliert/rechteck</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26339455"/>
        <c:crosses val="max"/>
        <c:crossBetween val="between"/>
      </c:valAx>
      <c:catAx>
        <c:axId val="1126339455"/>
        <c:scaling>
          <c:orientation val="minMax"/>
        </c:scaling>
        <c:delete val="1"/>
        <c:axPos val="b"/>
        <c:numFmt formatCode="General" sourceLinked="1"/>
        <c:majorTickMark val="out"/>
        <c:minorTickMark val="none"/>
        <c:tickLblPos val="nextTo"/>
        <c:crossAx val="1126354815"/>
        <c:crosses val="autoZero"/>
        <c:auto val="1"/>
        <c:lblAlgn val="ctr"/>
        <c:lblOffset val="100"/>
        <c:noMultiLvlLbl val="0"/>
      </c:cat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LASTGÄNGE!$B$5</c:f>
          <c:strCache>
            <c:ptCount val="1"/>
            <c:pt idx="0">
              <c:v>Prozess A</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LASTGÄNGE!$B$25</c:f>
              <c:strCache>
                <c:ptCount val="1"/>
                <c:pt idx="0">
                  <c:v>Name [Einheit]</c:v>
                </c:pt>
              </c:strCache>
            </c:strRef>
          </c:tx>
          <c:spPr>
            <a:ln w="19050" cap="rnd">
              <a:solidFill>
                <a:srgbClr val="40B93C"/>
              </a:solidFill>
              <a:round/>
            </a:ln>
            <a:effectLst/>
          </c:spPr>
          <c:marker>
            <c:symbol val="none"/>
          </c:marker>
          <c:xVal>
            <c:numRef>
              <c:f>helper_LASTGÄNGE!$B$3:$B$201</c:f>
              <c:numCache>
                <c:formatCode>0.0</c:formatCode>
                <c:ptCount val="199"/>
                <c:pt idx="0" formatCode="General">
                  <c:v>0</c:v>
                </c:pt>
              </c:numCache>
            </c:numRef>
          </c:xVal>
          <c:yVal>
            <c:numRef>
              <c:f>helper_LASTGÄNGE!$C$3:$C$201</c:f>
              <c:numCache>
                <c:formatCode>General</c:formatCode>
                <c:ptCount val="199"/>
                <c:pt idx="0">
                  <c:v>0</c:v>
                </c:pt>
              </c:numCache>
            </c:numRef>
          </c:yVal>
          <c:smooth val="0"/>
          <c:extLst>
            <c:ext xmlns:c16="http://schemas.microsoft.com/office/drawing/2014/chart" uri="{C3380CC4-5D6E-409C-BE32-E72D297353CC}">
              <c16:uniqueId val="{00000001-EBF7-4D36-9990-35D4728E7370}"/>
            </c:ext>
          </c:extLst>
        </c:ser>
        <c:ser>
          <c:idx val="0"/>
          <c:order val="2"/>
          <c:spPr>
            <a:ln w="19050" cap="rnd">
              <a:solidFill>
                <a:srgbClr val="C6C6C6"/>
              </a:solidFill>
              <a:prstDash val="dash"/>
              <a:round/>
            </a:ln>
            <a:effectLst/>
          </c:spPr>
          <c:marker>
            <c:symbol val="none"/>
          </c:marker>
          <c:xVal>
            <c:numRef>
              <c:f>helper_LASTGÄNGE!$B$3:$B$201</c:f>
              <c:numCache>
                <c:formatCode>0.0</c:formatCode>
                <c:ptCount val="199"/>
                <c:pt idx="0" formatCode="General">
                  <c:v>0</c:v>
                </c:pt>
              </c:numCache>
            </c:numRef>
          </c:xVal>
          <c:yVal>
            <c:numRef>
              <c:f>helper_LASTGÄNGE!$E$3:$E$201</c:f>
              <c:numCache>
                <c:formatCode>0.00</c:formatCode>
                <c:ptCount val="199"/>
                <c:pt idx="0">
                  <c:v>0</c:v>
                </c:pt>
              </c:numCache>
            </c:numRef>
          </c:yVal>
          <c:smooth val="0"/>
          <c:extLst>
            <c:ext xmlns:c16="http://schemas.microsoft.com/office/drawing/2014/chart" uri="{C3380CC4-5D6E-409C-BE32-E72D297353CC}">
              <c16:uniqueId val="{00000000-9BD9-4D0D-A4FC-F89E43851297}"/>
            </c:ext>
          </c:extLst>
        </c:ser>
        <c:ser>
          <c:idx val="3"/>
          <c:order val="3"/>
          <c:spPr>
            <a:ln w="19050" cap="rnd">
              <a:solidFill>
                <a:srgbClr val="C6C6C6"/>
              </a:solidFill>
              <a:prstDash val="sysDot"/>
              <a:round/>
            </a:ln>
            <a:effectLst/>
          </c:spPr>
          <c:marker>
            <c:symbol val="none"/>
          </c:marker>
          <c:xVal>
            <c:numRef>
              <c:f>helper_LASTGÄNGE!$B$3:$B$201</c:f>
              <c:numCache>
                <c:formatCode>0.0</c:formatCode>
                <c:ptCount val="199"/>
                <c:pt idx="0" formatCode="General">
                  <c:v>0</c:v>
                </c:pt>
              </c:numCache>
            </c:numRef>
          </c:xVal>
          <c:yVal>
            <c:numRef>
              <c:f>helper_LASTGÄNGE!$F$3:$F$201</c:f>
              <c:numCache>
                <c:formatCode>General</c:formatCode>
                <c:ptCount val="199"/>
                <c:pt idx="0">
                  <c:v>0</c:v>
                </c:pt>
              </c:numCache>
            </c:numRef>
          </c:yVal>
          <c:smooth val="0"/>
          <c:extLst>
            <c:ext xmlns:c16="http://schemas.microsoft.com/office/drawing/2014/chart" uri="{C3380CC4-5D6E-409C-BE32-E72D297353CC}">
              <c16:uniqueId val="{00000001-9BD9-4D0D-A4FC-F89E43851297}"/>
            </c:ext>
          </c:extLst>
        </c:ser>
        <c:dLbls>
          <c:showLegendKey val="0"/>
          <c:showVal val="0"/>
          <c:showCatName val="0"/>
          <c:showSerName val="0"/>
          <c:showPercent val="0"/>
          <c:showBubbleSize val="0"/>
        </c:dLbls>
        <c:axId val="74003279"/>
        <c:axId val="73993199"/>
      </c:scatterChart>
      <c:scatterChart>
        <c:scatterStyle val="lineMarker"/>
        <c:varyColors val="0"/>
        <c:ser>
          <c:idx val="2"/>
          <c:order val="1"/>
          <c:tx>
            <c:strRef>
              <c:f>LASTGÄNGE!$C$25</c:f>
              <c:strCache>
                <c:ptCount val="1"/>
                <c:pt idx="0">
                  <c:v>Batchsize [Stk.]</c:v>
                </c:pt>
              </c:strCache>
            </c:strRef>
          </c:tx>
          <c:spPr>
            <a:ln w="19050" cap="rnd">
              <a:solidFill>
                <a:srgbClr val="6C1C5B"/>
              </a:solidFill>
              <a:round/>
            </a:ln>
            <a:effectLst/>
          </c:spPr>
          <c:marker>
            <c:symbol val="none"/>
          </c:marker>
          <c:xVal>
            <c:numRef>
              <c:f>helper_LASTGÄNGE!$B$3:$B$201</c:f>
              <c:numCache>
                <c:formatCode>0.0</c:formatCode>
                <c:ptCount val="199"/>
                <c:pt idx="0" formatCode="General">
                  <c:v>0</c:v>
                </c:pt>
              </c:numCache>
            </c:numRef>
          </c:xVal>
          <c:yVal>
            <c:numRef>
              <c:f>helper_LASTGÄNGE!$D$3:$D$201</c:f>
              <c:numCache>
                <c:formatCode>General</c:formatCode>
                <c:ptCount val="199"/>
                <c:pt idx="0">
                  <c:v>0</c:v>
                </c:pt>
              </c:numCache>
            </c:numRef>
          </c:yVal>
          <c:smooth val="0"/>
          <c:extLst>
            <c:ext xmlns:c16="http://schemas.microsoft.com/office/drawing/2014/chart" uri="{C3380CC4-5D6E-409C-BE32-E72D297353CC}">
              <c16:uniqueId val="{00000002-EBF7-4D36-9990-35D4728E7370}"/>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LASTGÄNGE!$A$25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LASTGÄNGE!$B$25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LASTGÄNGE!$C$25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LASTGÄNGE!$H$5</c:f>
          <c:strCache>
            <c:ptCount val="1"/>
            <c:pt idx="0">
              <c:v>Prozess B</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LASTGÄNGE!$H$25</c:f>
              <c:strCache>
                <c:ptCount val="1"/>
                <c:pt idx="0">
                  <c:v>Name [Einheit]</c:v>
                </c:pt>
              </c:strCache>
            </c:strRef>
          </c:tx>
          <c:spPr>
            <a:ln w="19050" cap="rnd">
              <a:solidFill>
                <a:srgbClr val="40B93C"/>
              </a:solidFill>
              <a:round/>
            </a:ln>
            <a:effectLst/>
          </c:spPr>
          <c:marker>
            <c:symbol val="none"/>
          </c:marker>
          <c:xVal>
            <c:numRef>
              <c:f>helper_LASTGÄNGE!$H$3:$H$201</c:f>
              <c:numCache>
                <c:formatCode>0.0</c:formatCode>
                <c:ptCount val="199"/>
                <c:pt idx="0" formatCode="General">
                  <c:v>0</c:v>
                </c:pt>
              </c:numCache>
            </c:numRef>
          </c:xVal>
          <c:yVal>
            <c:numRef>
              <c:f>helper_LASTGÄNGE!$I$3:$I$201</c:f>
              <c:numCache>
                <c:formatCode>General</c:formatCode>
                <c:ptCount val="199"/>
                <c:pt idx="0">
                  <c:v>0</c:v>
                </c:pt>
              </c:numCache>
            </c:numRef>
          </c:yVal>
          <c:smooth val="0"/>
          <c:extLst>
            <c:ext xmlns:c16="http://schemas.microsoft.com/office/drawing/2014/chart" uri="{C3380CC4-5D6E-409C-BE32-E72D297353CC}">
              <c16:uniqueId val="{00000001-EBF7-4D36-9990-35D4728E7370}"/>
            </c:ext>
          </c:extLst>
        </c:ser>
        <c:ser>
          <c:idx val="2"/>
          <c:order val="1"/>
          <c:tx>
            <c:strRef>
              <c:f>LASTGÄNGE!$J$25</c:f>
              <c:strCache>
                <c:ptCount val="1"/>
                <c:pt idx="0">
                  <c:v>Name1 [Einheit]</c:v>
                </c:pt>
              </c:strCache>
            </c:strRef>
          </c:tx>
          <c:spPr>
            <a:ln w="19050" cap="rnd">
              <a:solidFill>
                <a:srgbClr val="C6C6C6"/>
              </a:solidFill>
              <a:prstDash val="dash"/>
              <a:round/>
            </a:ln>
            <a:effectLst/>
          </c:spPr>
          <c:marker>
            <c:symbol val="none"/>
          </c:marker>
          <c:xVal>
            <c:numRef>
              <c:f>helper_LASTGÄNGE!$H$3:$H$201</c:f>
              <c:numCache>
                <c:formatCode>0.0</c:formatCode>
                <c:ptCount val="199"/>
                <c:pt idx="0" formatCode="General">
                  <c:v>0</c:v>
                </c:pt>
              </c:numCache>
            </c:numRef>
          </c:xVal>
          <c:yVal>
            <c:numRef>
              <c:f>helper_LASTGÄNGE!$K$3:$K$201</c:f>
              <c:numCache>
                <c:formatCode>0.00</c:formatCode>
                <c:ptCount val="199"/>
                <c:pt idx="0">
                  <c:v>0</c:v>
                </c:pt>
              </c:numCache>
            </c:numRef>
          </c:yVal>
          <c:smooth val="0"/>
          <c:extLst>
            <c:ext xmlns:c16="http://schemas.microsoft.com/office/drawing/2014/chart" uri="{C3380CC4-5D6E-409C-BE32-E72D297353CC}">
              <c16:uniqueId val="{00000002-EBF7-4D36-9990-35D4728E7370}"/>
            </c:ext>
          </c:extLst>
        </c:ser>
        <c:ser>
          <c:idx val="0"/>
          <c:order val="2"/>
          <c:tx>
            <c:strRef>
              <c:f>LASTGÄNGE!$K$25</c:f>
              <c:strCache>
                <c:ptCount val="1"/>
                <c:pt idx="0">
                  <c:v>Name2 [Einheit]</c:v>
                </c:pt>
              </c:strCache>
            </c:strRef>
          </c:tx>
          <c:spPr>
            <a:ln w="19050" cap="rnd">
              <a:solidFill>
                <a:srgbClr val="C6C6C6"/>
              </a:solidFill>
              <a:prstDash val="sysDot"/>
              <a:round/>
            </a:ln>
            <a:effectLst/>
          </c:spPr>
          <c:marker>
            <c:symbol val="none"/>
          </c:marker>
          <c:xVal>
            <c:numRef>
              <c:f>helper_LASTGÄNGE!$H$3:$H$201</c:f>
              <c:numCache>
                <c:formatCode>0.0</c:formatCode>
                <c:ptCount val="199"/>
                <c:pt idx="0" formatCode="General">
                  <c:v>0</c:v>
                </c:pt>
              </c:numCache>
            </c:numRef>
          </c:xVal>
          <c:yVal>
            <c:numRef>
              <c:f>helper_LASTGÄNGE!$L$3:$L$201</c:f>
              <c:numCache>
                <c:formatCode>General</c:formatCode>
                <c:ptCount val="199"/>
                <c:pt idx="0">
                  <c:v>0</c:v>
                </c:pt>
              </c:numCache>
            </c:numRef>
          </c:yVal>
          <c:smooth val="0"/>
          <c:extLst>
            <c:ext xmlns:c16="http://schemas.microsoft.com/office/drawing/2014/chart" uri="{C3380CC4-5D6E-409C-BE32-E72D297353CC}">
              <c16:uniqueId val="{00000000-9BD9-4D0D-A4FC-F89E43851297}"/>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LASTGÄNGE!$I$25</c:f>
              <c:strCache>
                <c:ptCount val="1"/>
                <c:pt idx="0">
                  <c:v>Batchsize [Stk.]</c:v>
                </c:pt>
              </c:strCache>
            </c:strRef>
          </c:tx>
          <c:spPr>
            <a:ln w="19050" cap="rnd">
              <a:solidFill>
                <a:srgbClr val="6C1C5B"/>
              </a:solidFill>
              <a:prstDash val="solid"/>
              <a:round/>
            </a:ln>
            <a:effectLst/>
          </c:spPr>
          <c:marker>
            <c:symbol val="none"/>
          </c:marker>
          <c:xVal>
            <c:numRef>
              <c:f>helper_LASTGÄNGE!$H$3:$H$201</c:f>
              <c:numCache>
                <c:formatCode>0.0</c:formatCode>
                <c:ptCount val="199"/>
                <c:pt idx="0" formatCode="General">
                  <c:v>0</c:v>
                </c:pt>
              </c:numCache>
            </c:numRef>
          </c:xVal>
          <c:yVal>
            <c:numRef>
              <c:f>helper_LASTGÄNGE!$J$3:$J$201</c:f>
              <c:numCache>
                <c:formatCode>General</c:formatCode>
                <c:ptCount val="199"/>
                <c:pt idx="0">
                  <c:v>0</c:v>
                </c:pt>
              </c:numCache>
            </c:numRef>
          </c:yVal>
          <c:smooth val="0"/>
          <c:extLst>
            <c:ext xmlns:c16="http://schemas.microsoft.com/office/drawing/2014/chart" uri="{C3380CC4-5D6E-409C-BE32-E72D297353CC}">
              <c16:uniqueId val="{00000001-9BD9-4D0D-A4FC-F89E43851297}"/>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LASTGÄNGE!$G$25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LASTGÄNGE!$H$25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LASTGÄNGE!$I$25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LASTGÄNGE!$N$5</c:f>
          <c:strCache>
            <c:ptCount val="1"/>
            <c:pt idx="0">
              <c:v>Prozess C</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LASTGÄNGE!$N$25</c:f>
              <c:strCache>
                <c:ptCount val="1"/>
                <c:pt idx="0">
                  <c:v>Name [Einheit]</c:v>
                </c:pt>
              </c:strCache>
            </c:strRef>
          </c:tx>
          <c:spPr>
            <a:ln w="19050" cap="rnd">
              <a:solidFill>
                <a:srgbClr val="40B93C"/>
              </a:solidFill>
              <a:round/>
            </a:ln>
            <a:effectLst/>
          </c:spPr>
          <c:marker>
            <c:symbol val="none"/>
          </c:marker>
          <c:xVal>
            <c:numRef>
              <c:f>helper_LASTGÄNGE!$N$3:$N$201</c:f>
              <c:numCache>
                <c:formatCode>0.0</c:formatCode>
                <c:ptCount val="199"/>
                <c:pt idx="0" formatCode="General">
                  <c:v>0</c:v>
                </c:pt>
              </c:numCache>
            </c:numRef>
          </c:xVal>
          <c:yVal>
            <c:numRef>
              <c:f>helper_LASTGÄNGE!$O$3:$O$201</c:f>
              <c:numCache>
                <c:formatCode>General</c:formatCode>
                <c:ptCount val="199"/>
                <c:pt idx="0">
                  <c:v>0</c:v>
                </c:pt>
              </c:numCache>
            </c:numRef>
          </c:yVal>
          <c:smooth val="0"/>
          <c:extLst>
            <c:ext xmlns:c16="http://schemas.microsoft.com/office/drawing/2014/chart" uri="{C3380CC4-5D6E-409C-BE32-E72D297353CC}">
              <c16:uniqueId val="{00000000-A1E4-4322-BF8A-4A658DBA5AC4}"/>
            </c:ext>
          </c:extLst>
        </c:ser>
        <c:ser>
          <c:idx val="2"/>
          <c:order val="1"/>
          <c:tx>
            <c:strRef>
              <c:f>LASTGÄNGE!$P$25</c:f>
              <c:strCache>
                <c:ptCount val="1"/>
                <c:pt idx="0">
                  <c:v>Name1 [Einheit]</c:v>
                </c:pt>
              </c:strCache>
            </c:strRef>
          </c:tx>
          <c:spPr>
            <a:ln w="19050" cap="rnd">
              <a:solidFill>
                <a:srgbClr val="C6C6C6"/>
              </a:solidFill>
              <a:prstDash val="dash"/>
              <a:round/>
            </a:ln>
            <a:effectLst/>
          </c:spPr>
          <c:marker>
            <c:symbol val="none"/>
          </c:marker>
          <c:xVal>
            <c:numRef>
              <c:f>helper_LASTGÄNGE!$N$3:$N$201</c:f>
              <c:numCache>
                <c:formatCode>0.0</c:formatCode>
                <c:ptCount val="199"/>
                <c:pt idx="0" formatCode="General">
                  <c:v>0</c:v>
                </c:pt>
              </c:numCache>
            </c:numRef>
          </c:xVal>
          <c:yVal>
            <c:numRef>
              <c:f>helper_LASTGÄNGE!$Q$3:$Q$201</c:f>
              <c:numCache>
                <c:formatCode>0.00</c:formatCode>
                <c:ptCount val="199"/>
                <c:pt idx="0">
                  <c:v>0</c:v>
                </c:pt>
              </c:numCache>
            </c:numRef>
          </c:yVal>
          <c:smooth val="0"/>
          <c:extLst>
            <c:ext xmlns:c16="http://schemas.microsoft.com/office/drawing/2014/chart" uri="{C3380CC4-5D6E-409C-BE32-E72D297353CC}">
              <c16:uniqueId val="{00000001-A1E4-4322-BF8A-4A658DBA5AC4}"/>
            </c:ext>
          </c:extLst>
        </c:ser>
        <c:ser>
          <c:idx val="0"/>
          <c:order val="2"/>
          <c:tx>
            <c:strRef>
              <c:f>LASTGÄNGE!$Q$25</c:f>
              <c:strCache>
                <c:ptCount val="1"/>
                <c:pt idx="0">
                  <c:v>Name2 [Einheit]</c:v>
                </c:pt>
              </c:strCache>
            </c:strRef>
          </c:tx>
          <c:spPr>
            <a:ln w="19050" cap="rnd">
              <a:solidFill>
                <a:srgbClr val="C6C6C6"/>
              </a:solidFill>
              <a:prstDash val="sysDot"/>
              <a:round/>
            </a:ln>
            <a:effectLst/>
          </c:spPr>
          <c:marker>
            <c:symbol val="none"/>
          </c:marker>
          <c:xVal>
            <c:numRef>
              <c:f>helper_LASTGÄNGE!$N$3:$N$201</c:f>
              <c:numCache>
                <c:formatCode>0.0</c:formatCode>
                <c:ptCount val="199"/>
                <c:pt idx="0" formatCode="General">
                  <c:v>0</c:v>
                </c:pt>
              </c:numCache>
            </c:numRef>
          </c:xVal>
          <c:yVal>
            <c:numRef>
              <c:f>helper_LASTGÄNGE!$R$3:$R$201</c:f>
              <c:numCache>
                <c:formatCode>General</c:formatCode>
                <c:ptCount val="199"/>
                <c:pt idx="0">
                  <c:v>0</c:v>
                </c:pt>
              </c:numCache>
            </c:numRef>
          </c:yVal>
          <c:smooth val="0"/>
          <c:extLst>
            <c:ext xmlns:c16="http://schemas.microsoft.com/office/drawing/2014/chart" uri="{C3380CC4-5D6E-409C-BE32-E72D297353CC}">
              <c16:uniqueId val="{00000002-A1E4-4322-BF8A-4A658DBA5AC4}"/>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LASTGÄNGE!$O$25</c:f>
              <c:strCache>
                <c:ptCount val="1"/>
                <c:pt idx="0">
                  <c:v>Batchsize [Stk.]</c:v>
                </c:pt>
              </c:strCache>
            </c:strRef>
          </c:tx>
          <c:spPr>
            <a:ln w="19050" cap="rnd">
              <a:solidFill>
                <a:srgbClr val="6C1C5B"/>
              </a:solidFill>
              <a:prstDash val="solid"/>
              <a:round/>
            </a:ln>
            <a:effectLst/>
          </c:spPr>
          <c:marker>
            <c:symbol val="none"/>
          </c:marker>
          <c:xVal>
            <c:numRef>
              <c:f>helper_LASTGÄNGE!$N$3:$N$201</c:f>
              <c:numCache>
                <c:formatCode>0.0</c:formatCode>
                <c:ptCount val="199"/>
                <c:pt idx="0" formatCode="General">
                  <c:v>0</c:v>
                </c:pt>
              </c:numCache>
            </c:numRef>
          </c:xVal>
          <c:yVal>
            <c:numRef>
              <c:f>helper_LASTGÄNGE!$P$3:$P$201</c:f>
              <c:numCache>
                <c:formatCode>General</c:formatCode>
                <c:ptCount val="199"/>
                <c:pt idx="0">
                  <c:v>0</c:v>
                </c:pt>
              </c:numCache>
            </c:numRef>
          </c:yVal>
          <c:smooth val="0"/>
          <c:extLst>
            <c:ext xmlns:c16="http://schemas.microsoft.com/office/drawing/2014/chart" uri="{C3380CC4-5D6E-409C-BE32-E72D297353CC}">
              <c16:uniqueId val="{00000003-A1E4-4322-BF8A-4A658DBA5AC4}"/>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LASTGÄNGE!$M$25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LASTGÄNGE!$N$25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LASTGÄNGE!$O$25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LASTGÄNGE!$T$5</c:f>
          <c:strCache>
            <c:ptCount val="1"/>
            <c:pt idx="0">
              <c:v>Prozess D</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LASTGÄNGE!$T$25</c:f>
              <c:strCache>
                <c:ptCount val="1"/>
                <c:pt idx="0">
                  <c:v>Name [Einheit]</c:v>
                </c:pt>
              </c:strCache>
            </c:strRef>
          </c:tx>
          <c:spPr>
            <a:ln w="19050" cap="rnd">
              <a:solidFill>
                <a:srgbClr val="40B93C"/>
              </a:solidFill>
              <a:round/>
            </a:ln>
            <a:effectLst/>
          </c:spPr>
          <c:marker>
            <c:symbol val="none"/>
          </c:marker>
          <c:xVal>
            <c:numRef>
              <c:f>helper_LASTGÄNGE!$T$3:$T$201</c:f>
              <c:numCache>
                <c:formatCode>0.0</c:formatCode>
                <c:ptCount val="199"/>
                <c:pt idx="0" formatCode="General">
                  <c:v>0</c:v>
                </c:pt>
              </c:numCache>
            </c:numRef>
          </c:xVal>
          <c:yVal>
            <c:numRef>
              <c:f>helper_LASTGÄNGE!$U$3:$U$201</c:f>
              <c:numCache>
                <c:formatCode>General</c:formatCode>
                <c:ptCount val="199"/>
                <c:pt idx="0">
                  <c:v>0</c:v>
                </c:pt>
              </c:numCache>
            </c:numRef>
          </c:yVal>
          <c:smooth val="0"/>
          <c:extLst>
            <c:ext xmlns:c16="http://schemas.microsoft.com/office/drawing/2014/chart" uri="{C3380CC4-5D6E-409C-BE32-E72D297353CC}">
              <c16:uniqueId val="{00000000-90A9-4E2F-8A8C-14563CA4FAFF}"/>
            </c:ext>
          </c:extLst>
        </c:ser>
        <c:ser>
          <c:idx val="2"/>
          <c:order val="1"/>
          <c:tx>
            <c:strRef>
              <c:f>LASTGÄNGE!$V$25</c:f>
              <c:strCache>
                <c:ptCount val="1"/>
                <c:pt idx="0">
                  <c:v>Name1 [Einheit]</c:v>
                </c:pt>
              </c:strCache>
            </c:strRef>
          </c:tx>
          <c:spPr>
            <a:ln w="19050" cap="rnd">
              <a:solidFill>
                <a:srgbClr val="C6C6C6"/>
              </a:solidFill>
              <a:prstDash val="dash"/>
              <a:round/>
            </a:ln>
            <a:effectLst/>
          </c:spPr>
          <c:marker>
            <c:symbol val="none"/>
          </c:marker>
          <c:xVal>
            <c:numRef>
              <c:f>helper_LASTGÄNGE!$T$3:$T$201</c:f>
              <c:numCache>
                <c:formatCode>0.0</c:formatCode>
                <c:ptCount val="199"/>
                <c:pt idx="0" formatCode="General">
                  <c:v>0</c:v>
                </c:pt>
              </c:numCache>
            </c:numRef>
          </c:xVal>
          <c:yVal>
            <c:numRef>
              <c:f>helper_LASTGÄNGE!$W$3:$W$201</c:f>
              <c:numCache>
                <c:formatCode>0.00</c:formatCode>
                <c:ptCount val="199"/>
                <c:pt idx="0">
                  <c:v>0</c:v>
                </c:pt>
              </c:numCache>
            </c:numRef>
          </c:yVal>
          <c:smooth val="0"/>
          <c:extLst>
            <c:ext xmlns:c16="http://schemas.microsoft.com/office/drawing/2014/chart" uri="{C3380CC4-5D6E-409C-BE32-E72D297353CC}">
              <c16:uniqueId val="{00000001-90A9-4E2F-8A8C-14563CA4FAFF}"/>
            </c:ext>
          </c:extLst>
        </c:ser>
        <c:ser>
          <c:idx val="0"/>
          <c:order val="2"/>
          <c:tx>
            <c:strRef>
              <c:f>LASTGÄNGE!$W$25</c:f>
              <c:strCache>
                <c:ptCount val="1"/>
                <c:pt idx="0">
                  <c:v>Name2 [Einheit]</c:v>
                </c:pt>
              </c:strCache>
            </c:strRef>
          </c:tx>
          <c:spPr>
            <a:ln w="19050" cap="rnd">
              <a:solidFill>
                <a:srgbClr val="C6C6C6"/>
              </a:solidFill>
              <a:prstDash val="sysDot"/>
              <a:round/>
            </a:ln>
            <a:effectLst/>
          </c:spPr>
          <c:marker>
            <c:symbol val="none"/>
          </c:marker>
          <c:xVal>
            <c:numRef>
              <c:f>helper_LASTGÄNGE!$T$3:$T$201</c:f>
              <c:numCache>
                <c:formatCode>0.0</c:formatCode>
                <c:ptCount val="199"/>
                <c:pt idx="0" formatCode="General">
                  <c:v>0</c:v>
                </c:pt>
              </c:numCache>
            </c:numRef>
          </c:xVal>
          <c:yVal>
            <c:numRef>
              <c:f>helper_LASTGÄNGE!$X$3:$X$201</c:f>
              <c:numCache>
                <c:formatCode>General</c:formatCode>
                <c:ptCount val="199"/>
                <c:pt idx="0">
                  <c:v>0</c:v>
                </c:pt>
              </c:numCache>
            </c:numRef>
          </c:yVal>
          <c:smooth val="0"/>
          <c:extLst>
            <c:ext xmlns:c16="http://schemas.microsoft.com/office/drawing/2014/chart" uri="{C3380CC4-5D6E-409C-BE32-E72D297353CC}">
              <c16:uniqueId val="{00000002-90A9-4E2F-8A8C-14563CA4FAFF}"/>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LASTGÄNGE!$U$25</c:f>
              <c:strCache>
                <c:ptCount val="1"/>
                <c:pt idx="0">
                  <c:v>Batchsize [Stk.]</c:v>
                </c:pt>
              </c:strCache>
            </c:strRef>
          </c:tx>
          <c:spPr>
            <a:ln w="19050" cap="rnd">
              <a:solidFill>
                <a:srgbClr val="6C1C5B"/>
              </a:solidFill>
              <a:round/>
            </a:ln>
            <a:effectLst/>
          </c:spPr>
          <c:marker>
            <c:symbol val="none"/>
          </c:marker>
          <c:xVal>
            <c:numRef>
              <c:f>helper_LASTGÄNGE!$T$3:$T$201</c:f>
              <c:numCache>
                <c:formatCode>0.0</c:formatCode>
                <c:ptCount val="199"/>
                <c:pt idx="0" formatCode="General">
                  <c:v>0</c:v>
                </c:pt>
              </c:numCache>
            </c:numRef>
          </c:xVal>
          <c:yVal>
            <c:numRef>
              <c:f>helper_LASTGÄNGE!$V$3:$V$201</c:f>
              <c:numCache>
                <c:formatCode>General</c:formatCode>
                <c:ptCount val="199"/>
                <c:pt idx="0">
                  <c:v>0</c:v>
                </c:pt>
              </c:numCache>
            </c:numRef>
          </c:yVal>
          <c:smooth val="0"/>
          <c:extLst>
            <c:ext xmlns:c16="http://schemas.microsoft.com/office/drawing/2014/chart" uri="{C3380CC4-5D6E-409C-BE32-E72D297353CC}">
              <c16:uniqueId val="{00000003-90A9-4E2F-8A8C-14563CA4FAFF}"/>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LASTGÄNGE!$S$25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LASTGÄNGE!$T$25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LASTGÄNGE!$U$25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LASTGÄNGE!$Z$5</c:f>
          <c:strCache>
            <c:ptCount val="1"/>
            <c:pt idx="0">
              <c:v>Prozess E</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1"/>
          <c:order val="0"/>
          <c:tx>
            <c:strRef>
              <c:f>LASTGÄNGE!$Z$25</c:f>
              <c:strCache>
                <c:ptCount val="1"/>
                <c:pt idx="0">
                  <c:v>Name [Einheit]</c:v>
                </c:pt>
              </c:strCache>
            </c:strRef>
          </c:tx>
          <c:spPr>
            <a:ln w="19050" cap="rnd">
              <a:solidFill>
                <a:srgbClr val="40B93C"/>
              </a:solidFill>
              <a:round/>
            </a:ln>
            <a:effectLst/>
          </c:spPr>
          <c:marker>
            <c:symbol val="none"/>
          </c:marker>
          <c:xVal>
            <c:numRef>
              <c:f>helper_LASTGÄNGE!$Z$3:$Z$201</c:f>
              <c:numCache>
                <c:formatCode>0.0</c:formatCode>
                <c:ptCount val="199"/>
                <c:pt idx="0" formatCode="General">
                  <c:v>0</c:v>
                </c:pt>
              </c:numCache>
            </c:numRef>
          </c:xVal>
          <c:yVal>
            <c:numRef>
              <c:f>helper_LASTGÄNGE!$AA$3:$AA$201</c:f>
              <c:numCache>
                <c:formatCode>General</c:formatCode>
                <c:ptCount val="199"/>
                <c:pt idx="0">
                  <c:v>0</c:v>
                </c:pt>
              </c:numCache>
            </c:numRef>
          </c:yVal>
          <c:smooth val="0"/>
          <c:extLst>
            <c:ext xmlns:c16="http://schemas.microsoft.com/office/drawing/2014/chart" uri="{C3380CC4-5D6E-409C-BE32-E72D297353CC}">
              <c16:uniqueId val="{00000000-701A-49E4-AC45-64605F9680D4}"/>
            </c:ext>
          </c:extLst>
        </c:ser>
        <c:ser>
          <c:idx val="2"/>
          <c:order val="1"/>
          <c:tx>
            <c:strRef>
              <c:f>LASTGÄNGE!$AB$25</c:f>
              <c:strCache>
                <c:ptCount val="1"/>
                <c:pt idx="0">
                  <c:v>Name1 [Einheit]</c:v>
                </c:pt>
              </c:strCache>
            </c:strRef>
          </c:tx>
          <c:spPr>
            <a:ln w="19050" cap="rnd">
              <a:solidFill>
                <a:srgbClr val="C6C6C6"/>
              </a:solidFill>
              <a:prstDash val="dash"/>
              <a:round/>
            </a:ln>
            <a:effectLst/>
          </c:spPr>
          <c:marker>
            <c:symbol val="none"/>
          </c:marker>
          <c:xVal>
            <c:numRef>
              <c:f>helper_LASTGÄNGE!$Z$3:$Z$201</c:f>
              <c:numCache>
                <c:formatCode>0.0</c:formatCode>
                <c:ptCount val="199"/>
                <c:pt idx="0" formatCode="General">
                  <c:v>0</c:v>
                </c:pt>
              </c:numCache>
            </c:numRef>
          </c:xVal>
          <c:yVal>
            <c:numRef>
              <c:f>helper_LASTGÄNGE!$AC$3:$AC$201</c:f>
              <c:numCache>
                <c:formatCode>0.00</c:formatCode>
                <c:ptCount val="199"/>
                <c:pt idx="0">
                  <c:v>0</c:v>
                </c:pt>
              </c:numCache>
            </c:numRef>
          </c:yVal>
          <c:smooth val="0"/>
          <c:extLst>
            <c:ext xmlns:c16="http://schemas.microsoft.com/office/drawing/2014/chart" uri="{C3380CC4-5D6E-409C-BE32-E72D297353CC}">
              <c16:uniqueId val="{00000001-701A-49E4-AC45-64605F9680D4}"/>
            </c:ext>
          </c:extLst>
        </c:ser>
        <c:ser>
          <c:idx val="0"/>
          <c:order val="2"/>
          <c:tx>
            <c:strRef>
              <c:f>LASTGÄNGE!$AC$25</c:f>
              <c:strCache>
                <c:ptCount val="1"/>
                <c:pt idx="0">
                  <c:v>Name2 [Einheit]</c:v>
                </c:pt>
              </c:strCache>
            </c:strRef>
          </c:tx>
          <c:spPr>
            <a:ln w="19050" cap="rnd">
              <a:solidFill>
                <a:srgbClr val="C6C6C6"/>
              </a:solidFill>
              <a:prstDash val="sysDot"/>
              <a:round/>
            </a:ln>
            <a:effectLst/>
          </c:spPr>
          <c:marker>
            <c:symbol val="none"/>
          </c:marker>
          <c:xVal>
            <c:numRef>
              <c:f>helper_LASTGÄNGE!$Z$3:$Z$201</c:f>
              <c:numCache>
                <c:formatCode>0.0</c:formatCode>
                <c:ptCount val="199"/>
                <c:pt idx="0" formatCode="General">
                  <c:v>0</c:v>
                </c:pt>
              </c:numCache>
            </c:numRef>
          </c:xVal>
          <c:yVal>
            <c:numRef>
              <c:f>helper_LASTGÄNGE!$AD$3:$AD$201</c:f>
              <c:numCache>
                <c:formatCode>General</c:formatCode>
                <c:ptCount val="199"/>
                <c:pt idx="0">
                  <c:v>0</c:v>
                </c:pt>
              </c:numCache>
            </c:numRef>
          </c:yVal>
          <c:smooth val="0"/>
          <c:extLst>
            <c:ext xmlns:c16="http://schemas.microsoft.com/office/drawing/2014/chart" uri="{C3380CC4-5D6E-409C-BE32-E72D297353CC}">
              <c16:uniqueId val="{00000002-701A-49E4-AC45-64605F9680D4}"/>
            </c:ext>
          </c:extLst>
        </c:ser>
        <c:dLbls>
          <c:showLegendKey val="0"/>
          <c:showVal val="0"/>
          <c:showCatName val="0"/>
          <c:showSerName val="0"/>
          <c:showPercent val="0"/>
          <c:showBubbleSize val="0"/>
        </c:dLbls>
        <c:axId val="74003279"/>
        <c:axId val="73993199"/>
      </c:scatterChart>
      <c:scatterChart>
        <c:scatterStyle val="lineMarker"/>
        <c:varyColors val="0"/>
        <c:ser>
          <c:idx val="3"/>
          <c:order val="3"/>
          <c:tx>
            <c:strRef>
              <c:f>LASTGÄNGE!$AA$25</c:f>
              <c:strCache>
                <c:ptCount val="1"/>
                <c:pt idx="0">
                  <c:v>Batchsize [Stk.]</c:v>
                </c:pt>
              </c:strCache>
            </c:strRef>
          </c:tx>
          <c:spPr>
            <a:ln w="19050" cap="rnd">
              <a:solidFill>
                <a:srgbClr val="6C1C5B"/>
              </a:solidFill>
              <a:round/>
            </a:ln>
            <a:effectLst/>
          </c:spPr>
          <c:marker>
            <c:symbol val="none"/>
          </c:marker>
          <c:xVal>
            <c:numRef>
              <c:f>helper_LASTGÄNGE!$Z$3:$Z$201</c:f>
              <c:numCache>
                <c:formatCode>0.0</c:formatCode>
                <c:ptCount val="199"/>
                <c:pt idx="0" formatCode="General">
                  <c:v>0</c:v>
                </c:pt>
              </c:numCache>
            </c:numRef>
          </c:xVal>
          <c:yVal>
            <c:numRef>
              <c:f>helper_LASTGÄNGE!$AB$3:$AB$201</c:f>
              <c:numCache>
                <c:formatCode>General</c:formatCode>
                <c:ptCount val="199"/>
                <c:pt idx="0">
                  <c:v>0</c:v>
                </c:pt>
              </c:numCache>
            </c:numRef>
          </c:yVal>
          <c:smooth val="0"/>
          <c:extLst>
            <c:ext xmlns:c16="http://schemas.microsoft.com/office/drawing/2014/chart" uri="{C3380CC4-5D6E-409C-BE32-E72D297353CC}">
              <c16:uniqueId val="{00000003-701A-49E4-AC45-64605F9680D4}"/>
            </c:ext>
          </c:extLst>
        </c:ser>
        <c:dLbls>
          <c:showLegendKey val="0"/>
          <c:showVal val="0"/>
          <c:showCatName val="0"/>
          <c:showSerName val="0"/>
          <c:showPercent val="0"/>
          <c:showBubbleSize val="0"/>
        </c:dLbls>
        <c:axId val="159834399"/>
        <c:axId val="159837279"/>
      </c:scatterChart>
      <c:valAx>
        <c:axId val="74003279"/>
        <c:scaling>
          <c:orientation val="minMax"/>
        </c:scaling>
        <c:delete val="0"/>
        <c:axPos val="b"/>
        <c:title>
          <c:tx>
            <c:strRef>
              <c:f>LASTGÄNGE!$Y$25</c:f>
              <c:strCache>
                <c:ptCount val="1"/>
                <c:pt idx="0">
                  <c:v>Minuten</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3993199"/>
        <c:crosses val="autoZero"/>
        <c:crossBetween val="midCat"/>
      </c:valAx>
      <c:valAx>
        <c:axId val="73993199"/>
        <c:scaling>
          <c:orientation val="minMax"/>
        </c:scaling>
        <c:delete val="0"/>
        <c:axPos val="l"/>
        <c:majorGridlines>
          <c:spPr>
            <a:ln w="9525" cap="flat" cmpd="sng" algn="ctr">
              <a:solidFill>
                <a:schemeClr val="tx1">
                  <a:lumMod val="15000"/>
                  <a:lumOff val="85000"/>
                </a:schemeClr>
              </a:solidFill>
              <a:round/>
            </a:ln>
            <a:effectLst/>
          </c:spPr>
        </c:majorGridlines>
        <c:title>
          <c:tx>
            <c:strRef>
              <c:f>LASTGÄNGE!$Z$25</c:f>
              <c:strCache>
                <c:ptCount val="1"/>
                <c:pt idx="0">
                  <c:v>Name [Einheit]</c:v>
                </c:pt>
              </c:strCache>
            </c:strRef>
          </c:tx>
          <c:layout>
            <c:manualLayout>
              <c:xMode val="edge"/>
              <c:yMode val="edge"/>
              <c:x val="1.5546782436857592E-2"/>
              <c:y val="0.36706401283172935"/>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74003279"/>
        <c:crosses val="autoZero"/>
        <c:crossBetween val="midCat"/>
      </c:valAx>
      <c:valAx>
        <c:axId val="159837279"/>
        <c:scaling>
          <c:orientation val="minMax"/>
        </c:scaling>
        <c:delete val="0"/>
        <c:axPos val="r"/>
        <c:title>
          <c:tx>
            <c:strRef>
              <c:f>LASTGÄNGE!$AA$25</c:f>
              <c:strCache>
                <c:ptCount val="1"/>
                <c:pt idx="0">
                  <c:v>Batchsize [Stk.]</c:v>
                </c:pt>
              </c:strCache>
            </c:strRef>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de-D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9834399"/>
        <c:crosses val="max"/>
        <c:crossBetween val="midCat"/>
      </c:valAx>
      <c:valAx>
        <c:axId val="159834399"/>
        <c:scaling>
          <c:orientation val="minMax"/>
        </c:scaling>
        <c:delete val="1"/>
        <c:axPos val="b"/>
        <c:numFmt formatCode="General" sourceLinked="1"/>
        <c:majorTickMark val="out"/>
        <c:minorTickMark val="none"/>
        <c:tickLblPos val="nextTo"/>
        <c:crossAx val="159837279"/>
        <c:crosses val="autoZero"/>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helper_UNTERNEHMUNG!$C$32"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firstButton="1" fmlaLink="helper_DIGITALISIERUNG!$C$12"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firstButton="1" fmlaLink="helper_DIGITALISIERUNG!$C$13"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Radio" firstButton="1" fmlaLink="helper_UNTERNEHMUNG!$C$35"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CheckBox" fmlaLink="helper_DIGITALISIERUNG!$E$14" lockText="1" noThreeD="1"/>
</file>

<file path=xl/ctrlProps/ctrlProp118.xml><?xml version="1.0" encoding="utf-8"?>
<formControlPr xmlns="http://schemas.microsoft.com/office/spreadsheetml/2009/9/main" objectType="Radio" firstButton="1" fmlaLink="helper_DIGITALISIERUNG!$C$14"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Radio" firstButton="1" fmlaLink="helper_FLEXIBILISIERUNG!$C$6"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firstButton="1" fmlaLink="helper_FLEXIBILISIERUNG!$C$7"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helper_FLEXIBILISIERUNG!$C$5" lockText="1" noThreeD="1"/>
</file>

<file path=xl/ctrlProps/ctrlProp13.xml><?xml version="1.0" encoding="utf-8"?>
<formControlPr xmlns="http://schemas.microsoft.com/office/spreadsheetml/2009/9/main" objectType="CheckBox" fmlaLink="helper_UNTERNEHMUNG!$D$35"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GBox" noThreeD="1"/>
</file>

<file path=xl/ctrlProps/ctrlProp14.xml><?xml version="1.0" encoding="utf-8"?>
<formControlPr xmlns="http://schemas.microsoft.com/office/spreadsheetml/2009/9/main" objectType="CheckBox" fmlaLink="helper_ENERGIETECHNIK!$D$5" lockText="1" noThreeD="1"/>
</file>

<file path=xl/ctrlProps/ctrlProp15.xml><?xml version="1.0" encoding="utf-8"?>
<formControlPr xmlns="http://schemas.microsoft.com/office/spreadsheetml/2009/9/main" objectType="CheckBox" fmlaLink="helper_ENERGIETECHNIK!$D$6" lockText="1" noThreeD="1"/>
</file>

<file path=xl/ctrlProps/ctrlProp16.xml><?xml version="1.0" encoding="utf-8"?>
<formControlPr xmlns="http://schemas.microsoft.com/office/spreadsheetml/2009/9/main" objectType="CheckBox" fmlaLink="helper_ENERGIETECHNIK!$D$7" lockText="1" noThreeD="1"/>
</file>

<file path=xl/ctrlProps/ctrlProp17.xml><?xml version="1.0" encoding="utf-8"?>
<formControlPr xmlns="http://schemas.microsoft.com/office/spreadsheetml/2009/9/main" objectType="CheckBox" fmlaLink="helper_ENERGIETECHNIK!$D$8" lockText="1" noThreeD="1"/>
</file>

<file path=xl/ctrlProps/ctrlProp18.xml><?xml version="1.0" encoding="utf-8"?>
<formControlPr xmlns="http://schemas.microsoft.com/office/spreadsheetml/2009/9/main" objectType="CheckBox" fmlaLink="helper_ENERGIETECHNIK!$D$9" lockText="1" noThreeD="1"/>
</file>

<file path=xl/ctrlProps/ctrlProp19.xml><?xml version="1.0" encoding="utf-8"?>
<formControlPr xmlns="http://schemas.microsoft.com/office/spreadsheetml/2009/9/main" objectType="CheckBox" fmlaLink="helper_ENERGIETECHNIK!$D$22"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helper_ENERGIETECHNIK!$D$23" lockText="1" noThreeD="1"/>
</file>

<file path=xl/ctrlProps/ctrlProp21.xml><?xml version="1.0" encoding="utf-8"?>
<formControlPr xmlns="http://schemas.microsoft.com/office/spreadsheetml/2009/9/main" objectType="CheckBox" fmlaLink="helper_ENERGIETECHNIK!$D$29" lockText="1" noThreeD="1"/>
</file>

<file path=xl/ctrlProps/ctrlProp22.xml><?xml version="1.0" encoding="utf-8"?>
<formControlPr xmlns="http://schemas.microsoft.com/office/spreadsheetml/2009/9/main" objectType="CheckBox" fmlaLink="helper_ENERGIETECHNIK!$D$30" lockText="1" noThreeD="1"/>
</file>

<file path=xl/ctrlProps/ctrlProp23.xml><?xml version="1.0" encoding="utf-8"?>
<formControlPr xmlns="http://schemas.microsoft.com/office/spreadsheetml/2009/9/main" objectType="CheckBox" fmlaLink="helper_ENERGIETECHNIK!$D$27" lockText="1" noThreeD="1"/>
</file>

<file path=xl/ctrlProps/ctrlProp24.xml><?xml version="1.0" encoding="utf-8"?>
<formControlPr xmlns="http://schemas.microsoft.com/office/spreadsheetml/2009/9/main" objectType="CheckBox" fmlaLink="helper_ENERGIETECHNIK!$D$28"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helper_ENERGIETECHNIK!$C$5"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Radio" firstButton="1" fmlaLink="helper_ENERGIETECHNIK!$C$6" lockText="1"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helper_ENERGIETECHNIK!$C$7"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helper_ENERGIETECHNIK!$C$8"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helper_ENERGIETECHNIK!$C$9"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Radio" firstButton="1" fmlaLink="helper_ENERGIETECHNIK!$C$33" lockText="1" noThreeD="1"/>
</file>

<file path=xl/ctrlProps/ctrlProp41.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firstButton="1" fmlaLink="helper_ENERGIETECHNIK!$C$34"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helper_ENERGIETECHNIK!$C$19"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helper_UNTERNEHMUNG!$C$33"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firstButton="1" fmlaLink="helper_ENERGIETECHNIK!$C$3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helper_ENERGIETECHNIK!$E$18" lockText="1" noThreeD="1"/>
</file>

<file path=xl/ctrlProps/ctrlProp55.xml><?xml version="1.0" encoding="utf-8"?>
<formControlPr xmlns="http://schemas.microsoft.com/office/spreadsheetml/2009/9/main" objectType="CheckBox" fmlaLink="helper_ENERGIETECHNIK!$C$18" lockText="1" noThreeD="1"/>
</file>

<file path=xl/ctrlProps/ctrlProp56.xml><?xml version="1.0" encoding="utf-8"?>
<formControlPr xmlns="http://schemas.microsoft.com/office/spreadsheetml/2009/9/main" objectType="CheckBox" fmlaLink="helper_ENERGIETECHNIK!$D$18" lockText="1" noThreeD="1"/>
</file>

<file path=xl/ctrlProps/ctrlProp57.xml><?xml version="1.0" encoding="utf-8"?>
<formControlPr xmlns="http://schemas.microsoft.com/office/spreadsheetml/2009/9/main" objectType="CheckBox" fmlaLink="helper_ENERGIETECHNIK!$D$26" lockText="1" noThreeD="1"/>
</file>

<file path=xl/ctrlProps/ctrlProp58.xml><?xml version="1.0" encoding="utf-8"?>
<formControlPr xmlns="http://schemas.microsoft.com/office/spreadsheetml/2009/9/main" objectType="CheckBox" fmlaLink="helper_ENERGIETECHNIK!$D$25" lockText="1" noThreeD="1"/>
</file>

<file path=xl/ctrlProps/ctrlProp59.xml><?xml version="1.0" encoding="utf-8"?>
<formControlPr xmlns="http://schemas.microsoft.com/office/spreadsheetml/2009/9/main" objectType="CheckBox" fmlaLink="helper_PROZESSTECHNIK!$D$8"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firstButton="1" fmlaLink="helper_PROZESSTECHNIK!$C$5"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firstButton="1" fmlaLink="helper_PROZESSTECHNIK!$C$6"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firstButton="1" fmlaLink="helper_PROZESSTECHNIK!$C$7"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firstButton="1" fmlaLink="helper_PROZESSTECHNIK!$C$8"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helper_DIGITALISIERUNG!$E$5" lockText="1" noThreeD="1"/>
</file>

<file path=xl/ctrlProps/ctrlProp73.xml><?xml version="1.0" encoding="utf-8"?>
<formControlPr xmlns="http://schemas.microsoft.com/office/spreadsheetml/2009/9/main" objectType="CheckBox" fmlaLink="helper_DIGITALISIERUNG!$E$6" lockText="1" noThreeD="1"/>
</file>

<file path=xl/ctrlProps/ctrlProp74.xml><?xml version="1.0" encoding="utf-8"?>
<formControlPr xmlns="http://schemas.microsoft.com/office/spreadsheetml/2009/9/main" objectType="CheckBox" fmlaLink="helper_DIGITALISIERUNG!$E$7" lockText="1" noThreeD="1"/>
</file>

<file path=xl/ctrlProps/ctrlProp75.xml><?xml version="1.0" encoding="utf-8"?>
<formControlPr xmlns="http://schemas.microsoft.com/office/spreadsheetml/2009/9/main" objectType="CheckBox" fmlaLink="helper_DIGITALISIERUNG!$E$8" lockText="1" noThreeD="1"/>
</file>

<file path=xl/ctrlProps/ctrlProp76.xml><?xml version="1.0" encoding="utf-8"?>
<formControlPr xmlns="http://schemas.microsoft.com/office/spreadsheetml/2009/9/main" objectType="CheckBox" fmlaLink="helper_DIGITALISIERUNG!$E$9" lockText="1" noThreeD="1"/>
</file>

<file path=xl/ctrlProps/ctrlProp77.xml><?xml version="1.0" encoding="utf-8"?>
<formControlPr xmlns="http://schemas.microsoft.com/office/spreadsheetml/2009/9/main" objectType="CheckBox" fmlaLink="helper_DIGITALISIERUNG!$E$10" lockText="1" noThreeD="1"/>
</file>

<file path=xl/ctrlProps/ctrlProp78.xml><?xml version="1.0" encoding="utf-8"?>
<formControlPr xmlns="http://schemas.microsoft.com/office/spreadsheetml/2009/9/main" objectType="CheckBox" fmlaLink="helper_DIGITALISIERUNG!$E$11" lockText="1" noThreeD="1"/>
</file>

<file path=xl/ctrlProps/ctrlProp79.xml><?xml version="1.0" encoding="utf-8"?>
<formControlPr xmlns="http://schemas.microsoft.com/office/spreadsheetml/2009/9/main" objectType="CheckBox" fmlaLink="helper_DIGITALISIERUNG!$E$12" lockText="1" noThreeD="1"/>
</file>

<file path=xl/ctrlProps/ctrlProp8.xml><?xml version="1.0" encoding="utf-8"?>
<formControlPr xmlns="http://schemas.microsoft.com/office/spreadsheetml/2009/9/main" objectType="Radio" firstButton="1" fmlaLink="helper_UNTERNEHMUNG!$C$34" lockText="1" noThreeD="1"/>
</file>

<file path=xl/ctrlProps/ctrlProp80.xml><?xml version="1.0" encoding="utf-8"?>
<formControlPr xmlns="http://schemas.microsoft.com/office/spreadsheetml/2009/9/main" objectType="CheckBox" fmlaLink="helper_DIGITALISIERUNG!$E$13" lockText="1" noThreeD="1"/>
</file>

<file path=xl/ctrlProps/ctrlProp81.xml><?xml version="1.0" encoding="utf-8"?>
<formControlPr xmlns="http://schemas.microsoft.com/office/spreadsheetml/2009/9/main" objectType="Radio" firstButton="1" fmlaLink="helper_DIGITALISIERUNG!$C$5"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firstButton="1" fmlaLink="helper_DIGITALISIERUNG!$C$6"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firstButton="1" fmlaLink="helper_DIGITALISIERUNG!$C$7"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firstButton="1" fmlaLink="helper_DIGITALISIERUNG!$C$8"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firstButton="1" fmlaLink="helper_DIGITALISIERUNG!$C$9"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firstButton="1" fmlaLink="helper_DIGITALISIERUNG!$C$10"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helper_DIGITALISIERUNG!$C$11"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image" Target="../media/image9.jpeg"/><Relationship Id="rId3" Type="http://schemas.openxmlformats.org/officeDocument/2006/relationships/image" Target="../media/image3.jpeg"/><Relationship Id="rId7" Type="http://schemas.openxmlformats.org/officeDocument/2006/relationships/hyperlink" Target="https://www.evt-unileoben.at" TargetMode="External"/><Relationship Id="rId12" Type="http://schemas.openxmlformats.org/officeDocument/2006/relationships/hyperlink" Target="https://www.zukunftsfonds.steiermark.at/" TargetMode="Externa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8.svg"/><Relationship Id="rId5" Type="http://schemas.openxmlformats.org/officeDocument/2006/relationships/hyperlink" Target="https://www.best-research.eu" TargetMode="External"/><Relationship Id="rId15" Type="http://schemas.openxmlformats.org/officeDocument/2006/relationships/image" Target="../media/image10.png"/><Relationship Id="rId10" Type="http://schemas.openxmlformats.org/officeDocument/2006/relationships/image" Target="../media/image7.png"/><Relationship Id="rId4" Type="http://schemas.openxmlformats.org/officeDocument/2006/relationships/image" Target="../media/image4.jpeg"/><Relationship Id="rId9" Type="http://schemas.openxmlformats.org/officeDocument/2006/relationships/hyperlink" Target="https://www.unileoben.ac.at/" TargetMode="External"/><Relationship Id="rId14" Type="http://schemas.openxmlformats.org/officeDocument/2006/relationships/hyperlink" Target="https://www.verwaltung.steiermark.at/cms/ziel/74835381/DE/"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8.svg"/><Relationship Id="rId13" Type="http://schemas.openxmlformats.org/officeDocument/2006/relationships/image" Target="../media/image23.emf"/><Relationship Id="rId3" Type="http://schemas.openxmlformats.org/officeDocument/2006/relationships/image" Target="../media/image13.png"/><Relationship Id="rId7" Type="http://schemas.openxmlformats.org/officeDocument/2006/relationships/image" Target="../media/image17.png"/><Relationship Id="rId12" Type="http://schemas.openxmlformats.org/officeDocument/2006/relationships/image" Target="../media/image22.emf"/><Relationship Id="rId2" Type="http://schemas.openxmlformats.org/officeDocument/2006/relationships/image" Target="../media/image12.svg"/><Relationship Id="rId1" Type="http://schemas.openxmlformats.org/officeDocument/2006/relationships/image" Target="../media/image11.png"/><Relationship Id="rId6" Type="http://schemas.openxmlformats.org/officeDocument/2006/relationships/image" Target="../media/image16.svg"/><Relationship Id="rId11" Type="http://schemas.openxmlformats.org/officeDocument/2006/relationships/image" Target="../media/image21.emf"/><Relationship Id="rId5" Type="http://schemas.openxmlformats.org/officeDocument/2006/relationships/image" Target="../media/image15.png"/><Relationship Id="rId15" Type="http://schemas.openxmlformats.org/officeDocument/2006/relationships/chart" Target="../charts/chart1.xml"/><Relationship Id="rId10" Type="http://schemas.openxmlformats.org/officeDocument/2006/relationships/image" Target="../media/image20.png"/><Relationship Id="rId4" Type="http://schemas.openxmlformats.org/officeDocument/2006/relationships/image" Target="../media/image14.svg"/><Relationship Id="rId9" Type="http://schemas.openxmlformats.org/officeDocument/2006/relationships/image" Target="../media/image19.emf"/><Relationship Id="rId14" Type="http://schemas.openxmlformats.org/officeDocument/2006/relationships/image" Target="../media/image24.emf"/></Relationships>
</file>

<file path=xl/drawings/_rels/drawing4.xml.rels><?xml version="1.0" encoding="UTF-8" standalone="yes"?>
<Relationships xmlns="http://schemas.openxmlformats.org/package/2006/relationships"><Relationship Id="rId8" Type="http://schemas.openxmlformats.org/officeDocument/2006/relationships/image" Target="../media/image37.sv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svg"/><Relationship Id="rId1" Type="http://schemas.openxmlformats.org/officeDocument/2006/relationships/image" Target="../media/image30.png"/><Relationship Id="rId6" Type="http://schemas.openxmlformats.org/officeDocument/2006/relationships/image" Target="../media/image35.svg"/><Relationship Id="rId11" Type="http://schemas.openxmlformats.org/officeDocument/2006/relationships/chart" Target="../charts/chart2.xml"/><Relationship Id="rId5" Type="http://schemas.openxmlformats.org/officeDocument/2006/relationships/image" Target="../media/image34.png"/><Relationship Id="rId10" Type="http://schemas.openxmlformats.org/officeDocument/2006/relationships/image" Target="../media/image39.svg"/><Relationship Id="rId4" Type="http://schemas.openxmlformats.org/officeDocument/2006/relationships/image" Target="../media/image33.svg"/><Relationship Id="rId9" Type="http://schemas.openxmlformats.org/officeDocument/2006/relationships/image" Target="../media/image38.png"/></Relationships>
</file>

<file path=xl/drawings/_rels/drawing5.xml.rels><?xml version="1.0" encoding="UTF-8" standalone="yes"?>
<Relationships xmlns="http://schemas.openxmlformats.org/package/2006/relationships"><Relationship Id="rId8" Type="http://schemas.openxmlformats.org/officeDocument/2006/relationships/image" Target="../media/image37.sv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svg"/><Relationship Id="rId1" Type="http://schemas.openxmlformats.org/officeDocument/2006/relationships/image" Target="../media/image30.png"/><Relationship Id="rId6" Type="http://schemas.openxmlformats.org/officeDocument/2006/relationships/image" Target="../media/image35.svg"/><Relationship Id="rId5" Type="http://schemas.openxmlformats.org/officeDocument/2006/relationships/image" Target="../media/image34.png"/><Relationship Id="rId10" Type="http://schemas.openxmlformats.org/officeDocument/2006/relationships/image" Target="../media/image39.svg"/><Relationship Id="rId4" Type="http://schemas.openxmlformats.org/officeDocument/2006/relationships/image" Target="../media/image33.svg"/><Relationship Id="rId9" Type="http://schemas.openxmlformats.org/officeDocument/2006/relationships/image" Target="../media/image38.png"/></Relationships>
</file>

<file path=xl/drawings/_rels/drawing6.xml.rels><?xml version="1.0" encoding="UTF-8" standalone="yes"?>
<Relationships xmlns="http://schemas.openxmlformats.org/package/2006/relationships"><Relationship Id="rId8" Type="http://schemas.openxmlformats.org/officeDocument/2006/relationships/image" Target="../media/image37.sv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svg"/><Relationship Id="rId1" Type="http://schemas.openxmlformats.org/officeDocument/2006/relationships/image" Target="../media/image30.png"/><Relationship Id="rId6" Type="http://schemas.openxmlformats.org/officeDocument/2006/relationships/image" Target="../media/image35.svg"/><Relationship Id="rId5" Type="http://schemas.openxmlformats.org/officeDocument/2006/relationships/image" Target="../media/image34.png"/><Relationship Id="rId10" Type="http://schemas.openxmlformats.org/officeDocument/2006/relationships/image" Target="../media/image39.svg"/><Relationship Id="rId4" Type="http://schemas.openxmlformats.org/officeDocument/2006/relationships/image" Target="../media/image33.svg"/><Relationship Id="rId9" Type="http://schemas.openxmlformats.org/officeDocument/2006/relationships/image" Target="../media/image38.png"/></Relationships>
</file>

<file path=xl/drawings/_rels/drawing7.xml.rels><?xml version="1.0" encoding="UTF-8" standalone="yes"?>
<Relationships xmlns="http://schemas.openxmlformats.org/package/2006/relationships"><Relationship Id="rId8" Type="http://schemas.openxmlformats.org/officeDocument/2006/relationships/image" Target="../media/image37.sv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svg"/><Relationship Id="rId1" Type="http://schemas.openxmlformats.org/officeDocument/2006/relationships/image" Target="../media/image30.png"/><Relationship Id="rId6" Type="http://schemas.openxmlformats.org/officeDocument/2006/relationships/image" Target="../media/image35.svg"/><Relationship Id="rId5" Type="http://schemas.openxmlformats.org/officeDocument/2006/relationships/image" Target="../media/image34.png"/><Relationship Id="rId10" Type="http://schemas.openxmlformats.org/officeDocument/2006/relationships/image" Target="../media/image39.svg"/><Relationship Id="rId4" Type="http://schemas.openxmlformats.org/officeDocument/2006/relationships/image" Target="../media/image33.svg"/><Relationship Id="rId9" Type="http://schemas.openxmlformats.org/officeDocument/2006/relationships/image" Target="../media/image38.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34.png"/><Relationship Id="rId3" Type="http://schemas.openxmlformats.org/officeDocument/2006/relationships/image" Target="../media/image40.emf"/><Relationship Id="rId7" Type="http://schemas.openxmlformats.org/officeDocument/2006/relationships/image" Target="../media/image23.emf"/><Relationship Id="rId12" Type="http://schemas.openxmlformats.org/officeDocument/2006/relationships/image" Target="../media/image33.svg"/><Relationship Id="rId2" Type="http://schemas.openxmlformats.org/officeDocument/2006/relationships/chart" Target="../charts/chart4.xml"/><Relationship Id="rId16" Type="http://schemas.openxmlformats.org/officeDocument/2006/relationships/image" Target="../media/image37.svg"/><Relationship Id="rId1" Type="http://schemas.openxmlformats.org/officeDocument/2006/relationships/chart" Target="../charts/chart3.xml"/><Relationship Id="rId6" Type="http://schemas.openxmlformats.org/officeDocument/2006/relationships/image" Target="../media/image22.emf"/><Relationship Id="rId11" Type="http://schemas.openxmlformats.org/officeDocument/2006/relationships/image" Target="../media/image32.png"/><Relationship Id="rId5" Type="http://schemas.openxmlformats.org/officeDocument/2006/relationships/image" Target="../media/image21.emf"/><Relationship Id="rId15" Type="http://schemas.openxmlformats.org/officeDocument/2006/relationships/image" Target="../media/image36.png"/><Relationship Id="rId10" Type="http://schemas.openxmlformats.org/officeDocument/2006/relationships/image" Target="../media/image31.svg"/><Relationship Id="rId4" Type="http://schemas.openxmlformats.org/officeDocument/2006/relationships/image" Target="../media/image20.png"/><Relationship Id="rId9" Type="http://schemas.openxmlformats.org/officeDocument/2006/relationships/image" Target="../media/image30.png"/><Relationship Id="rId14" Type="http://schemas.openxmlformats.org/officeDocument/2006/relationships/image" Target="../media/image35.svg"/></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 Id="rId5" Type="http://schemas.openxmlformats.org/officeDocument/2006/relationships/image" Target="../media/image29.emf"/><Relationship Id="rId4"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41.emf"/><Relationship Id="rId5" Type="http://schemas.openxmlformats.org/officeDocument/2006/relationships/image" Target="../media/image29.emf"/><Relationship Id="rId4"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0</xdr:col>
      <xdr:colOff>37141</xdr:colOff>
      <xdr:row>0</xdr:row>
      <xdr:rowOff>57150</xdr:rowOff>
    </xdr:from>
    <xdr:to>
      <xdr:col>8</xdr:col>
      <xdr:colOff>744994</xdr:colOff>
      <xdr:row>0</xdr:row>
      <xdr:rowOff>1533731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37141" y="57150"/>
          <a:ext cx="6803853" cy="1476581"/>
        </a:xfrm>
        <a:prstGeom prst="rect">
          <a:avLst/>
        </a:prstGeom>
      </xdr:spPr>
    </xdr:pic>
    <xdr:clientData/>
  </xdr:twoCellAnchor>
  <xdr:twoCellAnchor editAs="absolute">
    <xdr:from>
      <xdr:col>10</xdr:col>
      <xdr:colOff>762000</xdr:colOff>
      <xdr:row>0</xdr:row>
      <xdr:rowOff>790575</xdr:rowOff>
    </xdr:from>
    <xdr:to>
      <xdr:col>10</xdr:col>
      <xdr:colOff>2107557</xdr:colOff>
      <xdr:row>3</xdr:row>
      <xdr:rowOff>165300</xdr:rowOff>
    </xdr:to>
    <xdr:pic>
      <xdr:nvPicPr>
        <xdr:cNvPr id="23" name="Picture 22" descr="Kerstin Pfleger-Schopf">
          <a:extLst>
            <a:ext uri="{FF2B5EF4-FFF2-40B4-BE49-F238E27FC236}">
              <a16:creationId xmlns:a16="http://schemas.microsoft.com/office/drawing/2014/main" id="{00000000-0008-0000-0000-00001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1607"/>
        <a:stretch/>
      </xdr:blipFill>
      <xdr:spPr bwMode="auto">
        <a:xfrm>
          <a:off x="8239125" y="790575"/>
          <a:ext cx="1345557" cy="1346400"/>
        </a:xfrm>
        <a:prstGeom prst="ellipse">
          <a:avLst/>
        </a:prstGeom>
        <a:ln w="190500" cap="rnd">
          <a:noFill/>
          <a:prstDash val="solid"/>
        </a:ln>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781050</xdr:colOff>
      <xdr:row>0</xdr:row>
      <xdr:rowOff>790575</xdr:rowOff>
    </xdr:from>
    <xdr:to>
      <xdr:col>11</xdr:col>
      <xdr:colOff>2127892</xdr:colOff>
      <xdr:row>3</xdr:row>
      <xdr:rowOff>165742</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115675" y="790575"/>
          <a:ext cx="1346842" cy="1346842"/>
        </a:xfrm>
        <a:prstGeom prst="ellipse">
          <a:avLst/>
        </a:prstGeom>
        <a:ln w="190500" cap="rnd">
          <a:noFill/>
          <a:prstDash val="solid"/>
        </a:ln>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11</xdr:col>
      <xdr:colOff>38100</xdr:colOff>
      <xdr:row>10</xdr:row>
      <xdr:rowOff>174756</xdr:rowOff>
    </xdr:from>
    <xdr:to>
      <xdr:col>11</xdr:col>
      <xdr:colOff>2823048</xdr:colOff>
      <xdr:row>15</xdr:row>
      <xdr:rowOff>115566</xdr:rowOff>
    </xdr:to>
    <xdr:pic>
      <xdr:nvPicPr>
        <xdr:cNvPr id="25" name="Picture 24" descr="A green and black logo&#10;&#10;AI-generated content may be incorrect.">
          <a:hlinkClick xmlns:r="http://schemas.openxmlformats.org/officeDocument/2006/relationships" r:id="rId5"/>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0372725" y="3479931"/>
          <a:ext cx="2784948" cy="893310"/>
        </a:xfrm>
        <a:prstGeom prst="rect">
          <a:avLst/>
        </a:prstGeom>
      </xdr:spPr>
    </xdr:pic>
    <xdr:clientData/>
  </xdr:twoCellAnchor>
  <xdr:twoCellAnchor editAs="absolute">
    <xdr:from>
      <xdr:col>10</xdr:col>
      <xdr:colOff>923431</xdr:colOff>
      <xdr:row>10</xdr:row>
      <xdr:rowOff>133350</xdr:rowOff>
    </xdr:from>
    <xdr:to>
      <xdr:col>10</xdr:col>
      <xdr:colOff>2690637</xdr:colOff>
      <xdr:row>15</xdr:row>
      <xdr:rowOff>156972</xdr:rowOff>
    </xdr:to>
    <xdr:pic>
      <xdr:nvPicPr>
        <xdr:cNvPr id="26" name="Grafik 10" descr="A logo of a company&#10;&#10;AI-generated content may be incorrect.">
          <a:hlinkClick xmlns:r="http://schemas.openxmlformats.org/officeDocument/2006/relationships" r:id="rId7"/>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8400556" y="3438525"/>
          <a:ext cx="1767206" cy="976122"/>
        </a:xfrm>
        <a:prstGeom prst="rect">
          <a:avLst/>
        </a:prstGeom>
      </xdr:spPr>
    </xdr:pic>
    <xdr:clientData/>
  </xdr:twoCellAnchor>
  <xdr:twoCellAnchor editAs="absolute">
    <xdr:from>
      <xdr:col>10</xdr:col>
      <xdr:colOff>95250</xdr:colOff>
      <xdr:row>10</xdr:row>
      <xdr:rowOff>133350</xdr:rowOff>
    </xdr:from>
    <xdr:to>
      <xdr:col>10</xdr:col>
      <xdr:colOff>770540</xdr:colOff>
      <xdr:row>15</xdr:row>
      <xdr:rowOff>156972</xdr:rowOff>
    </xdr:to>
    <xdr:pic>
      <xdr:nvPicPr>
        <xdr:cNvPr id="27" name="Grafik 14">
          <a:hlinkClick xmlns:r="http://schemas.openxmlformats.org/officeDocument/2006/relationships" r:id="rId9"/>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7572375" y="3438525"/>
          <a:ext cx="675290" cy="976122"/>
        </a:xfrm>
        <a:prstGeom prst="rect">
          <a:avLst/>
        </a:prstGeom>
      </xdr:spPr>
    </xdr:pic>
    <xdr:clientData/>
  </xdr:twoCellAnchor>
  <xdr:twoCellAnchor editAs="oneCell">
    <xdr:from>
      <xdr:col>9</xdr:col>
      <xdr:colOff>614927</xdr:colOff>
      <xdr:row>27</xdr:row>
      <xdr:rowOff>119125</xdr:rowOff>
    </xdr:from>
    <xdr:to>
      <xdr:col>11</xdr:col>
      <xdr:colOff>976360</xdr:colOff>
      <xdr:row>32</xdr:row>
      <xdr:rowOff>143443</xdr:rowOff>
    </xdr:to>
    <xdr:pic>
      <xdr:nvPicPr>
        <xdr:cNvPr id="28" name="Picture 27">
          <a:hlinkClick xmlns:r="http://schemas.openxmlformats.org/officeDocument/2006/relationships" r:id="rId12"/>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2" b="-25059"/>
        <a:stretch/>
      </xdr:blipFill>
      <xdr:spPr bwMode="auto">
        <a:xfrm>
          <a:off x="7472927" y="6662800"/>
          <a:ext cx="3838058" cy="97681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1132818</xdr:colOff>
      <xdr:row>27</xdr:row>
      <xdr:rowOff>145290</xdr:rowOff>
    </xdr:from>
    <xdr:to>
      <xdr:col>11</xdr:col>
      <xdr:colOff>2772968</xdr:colOff>
      <xdr:row>32</xdr:row>
      <xdr:rowOff>117278</xdr:rowOff>
    </xdr:to>
    <xdr:pic>
      <xdr:nvPicPr>
        <xdr:cNvPr id="29" name="Picture 28">
          <a:hlinkClick xmlns:r="http://schemas.openxmlformats.org/officeDocument/2006/relationships" r:id="rId14"/>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0646" r="10983" b="13808"/>
        <a:stretch/>
      </xdr:blipFill>
      <xdr:spPr bwMode="auto">
        <a:xfrm>
          <a:off x="11467443" y="6688965"/>
          <a:ext cx="1640150" cy="92448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388909</xdr:colOff>
      <xdr:row>2</xdr:row>
      <xdr:rowOff>1081</xdr:rowOff>
    </xdr:from>
    <xdr:to>
      <xdr:col>9</xdr:col>
      <xdr:colOff>204009</xdr:colOff>
      <xdr:row>9</xdr:row>
      <xdr:rowOff>1092</xdr:rowOff>
    </xdr:to>
    <xdr:grpSp>
      <xdr:nvGrpSpPr>
        <xdr:cNvPr id="2068" name="Ansprechperson_Piktogramme">
          <a:extLst>
            <a:ext uri="{FF2B5EF4-FFF2-40B4-BE49-F238E27FC236}">
              <a16:creationId xmlns:a16="http://schemas.microsoft.com/office/drawing/2014/main" id="{00000000-0008-0000-0100-000014080000}"/>
            </a:ext>
          </a:extLst>
        </xdr:cNvPr>
        <xdr:cNvGrpSpPr/>
      </xdr:nvGrpSpPr>
      <xdr:grpSpPr>
        <a:xfrm>
          <a:off x="3560734" y="334456"/>
          <a:ext cx="196100" cy="1104911"/>
          <a:chOff x="3557559" y="334456"/>
          <a:chExt cx="207198" cy="1104911"/>
        </a:xfrm>
      </xdr:grpSpPr>
      <xdr:pic>
        <xdr:nvPicPr>
          <xdr:cNvPr id="30" name="Ansprechperson_Name" descr="Employee badge outline">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63709" y="334456"/>
            <a:ext cx="189139" cy="198492"/>
          </a:xfrm>
          <a:prstGeom prst="rect">
            <a:avLst/>
          </a:prstGeom>
        </xdr:spPr>
      </xdr:pic>
      <xdr:pic>
        <xdr:nvPicPr>
          <xdr:cNvPr id="31" name="Ansprechperson_Mail" descr="Email outline">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58268" y="645831"/>
            <a:ext cx="206489" cy="170146"/>
          </a:xfrm>
          <a:prstGeom prst="rect">
            <a:avLst/>
          </a:prstGeom>
        </xdr:spPr>
      </xdr:pic>
      <xdr:pic>
        <xdr:nvPicPr>
          <xdr:cNvPr id="32" name="Ansprechperson_Telefon" descr="Telephone outline">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558268" y="937533"/>
            <a:ext cx="200535" cy="208800"/>
          </a:xfrm>
          <a:prstGeom prst="rect">
            <a:avLst/>
          </a:prstGeom>
        </xdr:spPr>
      </xdr:pic>
      <xdr:pic>
        <xdr:nvPicPr>
          <xdr:cNvPr id="33" name="Ansprechperson_Position" descr="Briefcase outline">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57559" y="1252567"/>
            <a:ext cx="201244" cy="186800"/>
          </a:xfrm>
          <a:prstGeom prst="rect">
            <a:avLst/>
          </a:prstGeom>
        </xdr:spPr>
      </xdr:pic>
    </xdr:grpSp>
    <xdr:clientData/>
  </xdr:twoCellAnchor>
  <xdr:twoCellAnchor>
    <xdr:from>
      <xdr:col>0</xdr:col>
      <xdr:colOff>382814</xdr:colOff>
      <xdr:row>2</xdr:row>
      <xdr:rowOff>20633</xdr:rowOff>
    </xdr:from>
    <xdr:to>
      <xdr:col>1</xdr:col>
      <xdr:colOff>208714</xdr:colOff>
      <xdr:row>9</xdr:row>
      <xdr:rowOff>12857</xdr:rowOff>
    </xdr:to>
    <xdr:grpSp>
      <xdr:nvGrpSpPr>
        <xdr:cNvPr id="2067" name="Betrieb_Piktogramme">
          <a:extLst>
            <a:ext uri="{FF2B5EF4-FFF2-40B4-BE49-F238E27FC236}">
              <a16:creationId xmlns:a16="http://schemas.microsoft.com/office/drawing/2014/main" id="{00000000-0008-0000-0100-000013080000}"/>
            </a:ext>
          </a:extLst>
        </xdr:cNvPr>
        <xdr:cNvGrpSpPr/>
      </xdr:nvGrpSpPr>
      <xdr:grpSpPr>
        <a:xfrm>
          <a:off x="344714" y="354008"/>
          <a:ext cx="187850" cy="1097124"/>
          <a:chOff x="332014" y="354008"/>
          <a:chExt cx="219075" cy="1097124"/>
        </a:xfrm>
      </xdr:grpSpPr>
      <xdr:grpSp>
        <xdr:nvGrpSpPr>
          <xdr:cNvPr id="2080" name="Betrieb_Name" descr="Building outline">
            <a:extLst>
              <a:ext uri="{FF2B5EF4-FFF2-40B4-BE49-F238E27FC236}">
                <a16:creationId xmlns:a16="http://schemas.microsoft.com/office/drawing/2014/main" id="{00000000-0008-0000-0100-000020080000}"/>
              </a:ext>
            </a:extLst>
          </xdr:cNvPr>
          <xdr:cNvGrpSpPr>
            <a:grpSpLocks/>
          </xdr:cNvGrpSpPr>
        </xdr:nvGrpSpPr>
        <xdr:grpSpPr bwMode="auto">
          <a:xfrm>
            <a:off x="381391" y="354008"/>
            <a:ext cx="130085" cy="164634"/>
            <a:chOff x="12756" y="21141"/>
            <a:chExt cx="1282" cy="1777"/>
          </a:xfrm>
        </xdr:grpSpPr>
        <xdr:sp macro="" textlink="">
          <xdr:nvSpPr>
            <xdr:cNvPr id="2105" name="Freeform: Shape 12">
              <a:extLst>
                <a:ext uri="{FF2B5EF4-FFF2-40B4-BE49-F238E27FC236}">
                  <a16:creationId xmlns:a16="http://schemas.microsoft.com/office/drawing/2014/main" id="{00000000-0008-0000-0100-000039080000}"/>
                </a:ext>
              </a:extLst>
            </xdr:cNvPr>
            <xdr:cNvSpPr>
              <a:spLocks/>
            </xdr:cNvSpPr>
          </xdr:nvSpPr>
          <xdr:spPr bwMode="auto">
            <a:xfrm>
              <a:off x="12756" y="21141"/>
              <a:ext cx="1282" cy="1777"/>
            </a:xfrm>
            <a:custGeom>
              <a:avLst/>
              <a:gdLst>
                <a:gd name="T0" fmla="*/ 111887 w 128190"/>
                <a:gd name="T1" fmla="*/ 172557 h 177667"/>
                <a:gd name="T2" fmla="*/ 111887 w 128190"/>
                <a:gd name="T3" fmla="*/ 15180 h 177667"/>
                <a:gd name="T4" fmla="*/ 100642 w 128190"/>
                <a:gd name="T5" fmla="*/ 15180 h 177667"/>
                <a:gd name="T6" fmla="*/ 100642 w 128190"/>
                <a:gd name="T7" fmla="*/ 1687 h 177667"/>
                <a:gd name="T8" fmla="*/ 28674 w 128190"/>
                <a:gd name="T9" fmla="*/ 1687 h 177667"/>
                <a:gd name="T10" fmla="*/ 28674 w 128190"/>
                <a:gd name="T11" fmla="*/ 15180 h 177667"/>
                <a:gd name="T12" fmla="*/ 17429 w 128190"/>
                <a:gd name="T13" fmla="*/ 15180 h 177667"/>
                <a:gd name="T14" fmla="*/ 17429 w 128190"/>
                <a:gd name="T15" fmla="*/ 172557 h 177667"/>
                <a:gd name="T16" fmla="*/ 1687 w 128190"/>
                <a:gd name="T17" fmla="*/ 172557 h 177667"/>
                <a:gd name="T18" fmla="*/ 1687 w 128190"/>
                <a:gd name="T19" fmla="*/ 177055 h 177667"/>
                <a:gd name="T20" fmla="*/ 127629 w 128190"/>
                <a:gd name="T21" fmla="*/ 177055 h 177667"/>
                <a:gd name="T22" fmla="*/ 127629 w 128190"/>
                <a:gd name="T23" fmla="*/ 172557 h 177667"/>
                <a:gd name="T24" fmla="*/ 33172 w 128190"/>
                <a:gd name="T25" fmla="*/ 6185 h 177667"/>
                <a:gd name="T26" fmla="*/ 96144 w 128190"/>
                <a:gd name="T27" fmla="*/ 6185 h 177667"/>
                <a:gd name="T28" fmla="*/ 96144 w 128190"/>
                <a:gd name="T29" fmla="*/ 15180 h 177667"/>
                <a:gd name="T30" fmla="*/ 33172 w 128190"/>
                <a:gd name="T31" fmla="*/ 15180 h 177667"/>
                <a:gd name="T32" fmla="*/ 21927 w 128190"/>
                <a:gd name="T33" fmla="*/ 19678 h 177667"/>
                <a:gd name="T34" fmla="*/ 107389 w 128190"/>
                <a:gd name="T35" fmla="*/ 19678 h 177667"/>
                <a:gd name="T36" fmla="*/ 107389 w 128190"/>
                <a:gd name="T37" fmla="*/ 172557 h 177667"/>
                <a:gd name="T38" fmla="*/ 69156 w 128190"/>
                <a:gd name="T39" fmla="*/ 172557 h 177667"/>
                <a:gd name="T40" fmla="*/ 69156 w 128190"/>
                <a:gd name="T41" fmla="*/ 147870 h 177667"/>
                <a:gd name="T42" fmla="*/ 60160 w 128190"/>
                <a:gd name="T43" fmla="*/ 147870 h 177667"/>
                <a:gd name="T44" fmla="*/ 60160 w 128190"/>
                <a:gd name="T45" fmla="*/ 172557 h 177667"/>
                <a:gd name="T46" fmla="*/ 21927 w 128190"/>
                <a:gd name="T47" fmla="*/ 172557 h 17766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128190" h="177667">
                  <a:moveTo>
                    <a:pt x="111886" y="172556"/>
                  </a:moveTo>
                  <a:lnTo>
                    <a:pt x="111886" y="15180"/>
                  </a:lnTo>
                  <a:lnTo>
                    <a:pt x="100641" y="15180"/>
                  </a:lnTo>
                  <a:lnTo>
                    <a:pt x="100641" y="1687"/>
                  </a:lnTo>
                  <a:lnTo>
                    <a:pt x="28674" y="1687"/>
                  </a:lnTo>
                  <a:lnTo>
                    <a:pt x="28674" y="15180"/>
                  </a:lnTo>
                  <a:lnTo>
                    <a:pt x="17429" y="15180"/>
                  </a:lnTo>
                  <a:lnTo>
                    <a:pt x="17429" y="172556"/>
                  </a:lnTo>
                  <a:lnTo>
                    <a:pt x="1687" y="172556"/>
                  </a:lnTo>
                  <a:lnTo>
                    <a:pt x="1687" y="177054"/>
                  </a:lnTo>
                  <a:lnTo>
                    <a:pt x="127628" y="177054"/>
                  </a:lnTo>
                  <a:lnTo>
                    <a:pt x="127628" y="172556"/>
                  </a:lnTo>
                  <a:lnTo>
                    <a:pt x="111886" y="172556"/>
                  </a:lnTo>
                  <a:close/>
                  <a:moveTo>
                    <a:pt x="33172" y="6185"/>
                  </a:moveTo>
                  <a:lnTo>
                    <a:pt x="96143" y="6185"/>
                  </a:lnTo>
                  <a:lnTo>
                    <a:pt x="96143" y="15180"/>
                  </a:lnTo>
                  <a:lnTo>
                    <a:pt x="33172" y="15180"/>
                  </a:lnTo>
                  <a:lnTo>
                    <a:pt x="33172" y="6185"/>
                  </a:lnTo>
                  <a:close/>
                  <a:moveTo>
                    <a:pt x="21927" y="19678"/>
                  </a:moveTo>
                  <a:lnTo>
                    <a:pt x="107388" y="19678"/>
                  </a:lnTo>
                  <a:lnTo>
                    <a:pt x="107388" y="172556"/>
                  </a:lnTo>
                  <a:lnTo>
                    <a:pt x="69155" y="172556"/>
                  </a:lnTo>
                  <a:lnTo>
                    <a:pt x="69155" y="147869"/>
                  </a:lnTo>
                  <a:lnTo>
                    <a:pt x="60160" y="147869"/>
                  </a:lnTo>
                  <a:lnTo>
                    <a:pt x="60160" y="172556"/>
                  </a:lnTo>
                  <a:lnTo>
                    <a:pt x="21927" y="172556"/>
                  </a:lnTo>
                  <a:lnTo>
                    <a:pt x="21927" y="19678"/>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04" name="Freeform: Shape 13">
              <a:extLst>
                <a:ext uri="{FF2B5EF4-FFF2-40B4-BE49-F238E27FC236}">
                  <a16:creationId xmlns:a16="http://schemas.microsoft.com/office/drawing/2014/main" id="{00000000-0008-0000-0100-000038080000}"/>
                </a:ext>
              </a:extLst>
            </xdr:cNvPr>
            <xdr:cNvSpPr>
              <a:spLocks/>
            </xdr:cNvSpPr>
          </xdr:nvSpPr>
          <xdr:spPr bwMode="auto">
            <a:xfrm>
              <a:off x="13116"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03" name="Freeform: Shape 14">
              <a:extLst>
                <a:ext uri="{FF2B5EF4-FFF2-40B4-BE49-F238E27FC236}">
                  <a16:creationId xmlns:a16="http://schemas.microsoft.com/office/drawing/2014/main" id="{00000000-0008-0000-0100-000037080000}"/>
                </a:ext>
              </a:extLst>
            </xdr:cNvPr>
            <xdr:cNvSpPr>
              <a:spLocks/>
            </xdr:cNvSpPr>
          </xdr:nvSpPr>
          <xdr:spPr bwMode="auto">
            <a:xfrm>
              <a:off x="13116"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02" name="Freeform: Shape 15">
              <a:extLst>
                <a:ext uri="{FF2B5EF4-FFF2-40B4-BE49-F238E27FC236}">
                  <a16:creationId xmlns:a16="http://schemas.microsoft.com/office/drawing/2014/main" id="{00000000-0008-0000-0100-000036080000}"/>
                </a:ext>
              </a:extLst>
            </xdr:cNvPr>
            <xdr:cNvSpPr>
              <a:spLocks/>
            </xdr:cNvSpPr>
          </xdr:nvSpPr>
          <xdr:spPr bwMode="auto">
            <a:xfrm>
              <a:off x="13116"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01" name="Freeform: Shape 16">
              <a:extLst>
                <a:ext uri="{FF2B5EF4-FFF2-40B4-BE49-F238E27FC236}">
                  <a16:creationId xmlns:a16="http://schemas.microsoft.com/office/drawing/2014/main" id="{00000000-0008-0000-0100-000035080000}"/>
                </a:ext>
              </a:extLst>
            </xdr:cNvPr>
            <xdr:cNvSpPr>
              <a:spLocks/>
            </xdr:cNvSpPr>
          </xdr:nvSpPr>
          <xdr:spPr bwMode="auto">
            <a:xfrm>
              <a:off x="13116"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00" name="Freeform: Shape 17">
              <a:extLst>
                <a:ext uri="{FF2B5EF4-FFF2-40B4-BE49-F238E27FC236}">
                  <a16:creationId xmlns:a16="http://schemas.microsoft.com/office/drawing/2014/main" id="{00000000-0008-0000-0100-000034080000}"/>
                </a:ext>
              </a:extLst>
            </xdr:cNvPr>
            <xdr:cNvSpPr>
              <a:spLocks/>
            </xdr:cNvSpPr>
          </xdr:nvSpPr>
          <xdr:spPr bwMode="auto">
            <a:xfrm>
              <a:off x="13341"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9" name="Freeform: Shape 18">
              <a:extLst>
                <a:ext uri="{FF2B5EF4-FFF2-40B4-BE49-F238E27FC236}">
                  <a16:creationId xmlns:a16="http://schemas.microsoft.com/office/drawing/2014/main" id="{00000000-0008-0000-0100-000033080000}"/>
                </a:ext>
              </a:extLst>
            </xdr:cNvPr>
            <xdr:cNvSpPr>
              <a:spLocks/>
            </xdr:cNvSpPr>
          </xdr:nvSpPr>
          <xdr:spPr bwMode="auto">
            <a:xfrm>
              <a:off x="13341"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8" name="Freeform: Shape 19">
              <a:extLst>
                <a:ext uri="{FF2B5EF4-FFF2-40B4-BE49-F238E27FC236}">
                  <a16:creationId xmlns:a16="http://schemas.microsoft.com/office/drawing/2014/main" id="{00000000-0008-0000-0100-000032080000}"/>
                </a:ext>
              </a:extLst>
            </xdr:cNvPr>
            <xdr:cNvSpPr>
              <a:spLocks/>
            </xdr:cNvSpPr>
          </xdr:nvSpPr>
          <xdr:spPr bwMode="auto">
            <a:xfrm>
              <a:off x="13566" y="2260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7" name="Freeform: Shape 20">
              <a:extLst>
                <a:ext uri="{FF2B5EF4-FFF2-40B4-BE49-F238E27FC236}">
                  <a16:creationId xmlns:a16="http://schemas.microsoft.com/office/drawing/2014/main" id="{00000000-0008-0000-0100-000031080000}"/>
                </a:ext>
              </a:extLst>
            </xdr:cNvPr>
            <xdr:cNvSpPr>
              <a:spLocks/>
            </xdr:cNvSpPr>
          </xdr:nvSpPr>
          <xdr:spPr bwMode="auto">
            <a:xfrm>
              <a:off x="13566"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6" name="Freeform: Shape 21">
              <a:extLst>
                <a:ext uri="{FF2B5EF4-FFF2-40B4-BE49-F238E27FC236}">
                  <a16:creationId xmlns:a16="http://schemas.microsoft.com/office/drawing/2014/main" id="{00000000-0008-0000-0100-000030080000}"/>
                </a:ext>
              </a:extLst>
            </xdr:cNvPr>
            <xdr:cNvSpPr>
              <a:spLocks/>
            </xdr:cNvSpPr>
          </xdr:nvSpPr>
          <xdr:spPr bwMode="auto">
            <a:xfrm>
              <a:off x="13341"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5" name="Freeform: Shape 22">
              <a:extLst>
                <a:ext uri="{FF2B5EF4-FFF2-40B4-BE49-F238E27FC236}">
                  <a16:creationId xmlns:a16="http://schemas.microsoft.com/office/drawing/2014/main" id="{00000000-0008-0000-0100-00002F080000}"/>
                </a:ext>
              </a:extLst>
            </xdr:cNvPr>
            <xdr:cNvSpPr>
              <a:spLocks/>
            </xdr:cNvSpPr>
          </xdr:nvSpPr>
          <xdr:spPr bwMode="auto">
            <a:xfrm>
              <a:off x="13341"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4" name="Freeform: Shape 23">
              <a:extLst>
                <a:ext uri="{FF2B5EF4-FFF2-40B4-BE49-F238E27FC236}">
                  <a16:creationId xmlns:a16="http://schemas.microsoft.com/office/drawing/2014/main" id="{00000000-0008-0000-0100-00002E080000}"/>
                </a:ext>
              </a:extLst>
            </xdr:cNvPr>
            <xdr:cNvSpPr>
              <a:spLocks/>
            </xdr:cNvSpPr>
          </xdr:nvSpPr>
          <xdr:spPr bwMode="auto">
            <a:xfrm>
              <a:off x="13341"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3" name="Freeform: Shape 24">
              <a:extLst>
                <a:ext uri="{FF2B5EF4-FFF2-40B4-BE49-F238E27FC236}">
                  <a16:creationId xmlns:a16="http://schemas.microsoft.com/office/drawing/2014/main" id="{00000000-0008-0000-0100-00002D080000}"/>
                </a:ext>
              </a:extLst>
            </xdr:cNvPr>
            <xdr:cNvSpPr>
              <a:spLocks/>
            </xdr:cNvSpPr>
          </xdr:nvSpPr>
          <xdr:spPr bwMode="auto">
            <a:xfrm>
              <a:off x="13116"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2" name="Freeform: Shape 25">
              <a:extLst>
                <a:ext uri="{FF2B5EF4-FFF2-40B4-BE49-F238E27FC236}">
                  <a16:creationId xmlns:a16="http://schemas.microsoft.com/office/drawing/2014/main" id="{00000000-0008-0000-0100-00002C080000}"/>
                </a:ext>
              </a:extLst>
            </xdr:cNvPr>
            <xdr:cNvSpPr>
              <a:spLocks/>
            </xdr:cNvSpPr>
          </xdr:nvSpPr>
          <xdr:spPr bwMode="auto">
            <a:xfrm>
              <a:off x="13116" y="2260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1" name="Freeform: Shape 26">
              <a:extLst>
                <a:ext uri="{FF2B5EF4-FFF2-40B4-BE49-F238E27FC236}">
                  <a16:creationId xmlns:a16="http://schemas.microsoft.com/office/drawing/2014/main" id="{00000000-0008-0000-0100-00002B080000}"/>
                </a:ext>
              </a:extLst>
            </xdr:cNvPr>
            <xdr:cNvSpPr>
              <a:spLocks/>
            </xdr:cNvSpPr>
          </xdr:nvSpPr>
          <xdr:spPr bwMode="auto">
            <a:xfrm>
              <a:off x="13566"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90" name="Freeform: Shape 27">
              <a:extLst>
                <a:ext uri="{FF2B5EF4-FFF2-40B4-BE49-F238E27FC236}">
                  <a16:creationId xmlns:a16="http://schemas.microsoft.com/office/drawing/2014/main" id="{00000000-0008-0000-0100-00002A080000}"/>
                </a:ext>
              </a:extLst>
            </xdr:cNvPr>
            <xdr:cNvSpPr>
              <a:spLocks/>
            </xdr:cNvSpPr>
          </xdr:nvSpPr>
          <xdr:spPr bwMode="auto">
            <a:xfrm>
              <a:off x="13566"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89" name="Freeform: Shape 28">
              <a:extLst>
                <a:ext uri="{FF2B5EF4-FFF2-40B4-BE49-F238E27FC236}">
                  <a16:creationId xmlns:a16="http://schemas.microsoft.com/office/drawing/2014/main" id="{00000000-0008-0000-0100-000029080000}"/>
                </a:ext>
              </a:extLst>
            </xdr:cNvPr>
            <xdr:cNvSpPr>
              <a:spLocks/>
            </xdr:cNvSpPr>
          </xdr:nvSpPr>
          <xdr:spPr bwMode="auto">
            <a:xfrm>
              <a:off x="13566"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88" name="Freeform: Shape 29">
              <a:extLst>
                <a:ext uri="{FF2B5EF4-FFF2-40B4-BE49-F238E27FC236}">
                  <a16:creationId xmlns:a16="http://schemas.microsoft.com/office/drawing/2014/main" id="{00000000-0008-0000-0100-000028080000}"/>
                </a:ext>
              </a:extLst>
            </xdr:cNvPr>
            <xdr:cNvSpPr>
              <a:spLocks/>
            </xdr:cNvSpPr>
          </xdr:nvSpPr>
          <xdr:spPr bwMode="auto">
            <a:xfrm>
              <a:off x="13566"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nvGrpSpPr>
          <xdr:cNvPr id="2079" name="Betrieb_Adresse_1" descr="Envelope outline">
            <a:extLst>
              <a:ext uri="{FF2B5EF4-FFF2-40B4-BE49-F238E27FC236}">
                <a16:creationId xmlns:a16="http://schemas.microsoft.com/office/drawing/2014/main" id="{00000000-0008-0000-0100-00001F080000}"/>
              </a:ext>
            </a:extLst>
          </xdr:cNvPr>
          <xdr:cNvGrpSpPr>
            <a:grpSpLocks/>
          </xdr:cNvGrpSpPr>
        </xdr:nvGrpSpPr>
        <xdr:grpSpPr bwMode="auto">
          <a:xfrm>
            <a:off x="332014" y="630011"/>
            <a:ext cx="219075" cy="208800"/>
            <a:chOff x="12323" y="23695"/>
            <a:chExt cx="2159" cy="2159"/>
          </a:xfrm>
        </xdr:grpSpPr>
        <xdr:sp macro="" textlink="">
          <xdr:nvSpPr>
            <xdr:cNvPr id="2106" name="Freeform: Shape 31">
              <a:extLst>
                <a:ext uri="{FF2B5EF4-FFF2-40B4-BE49-F238E27FC236}">
                  <a16:creationId xmlns:a16="http://schemas.microsoft.com/office/drawing/2014/main" id="{00000000-0008-0000-0100-00003A080000}"/>
                </a:ext>
              </a:extLst>
            </xdr:cNvPr>
            <xdr:cNvSpPr>
              <a:spLocks/>
            </xdr:cNvSpPr>
          </xdr:nvSpPr>
          <xdr:spPr bwMode="auto">
            <a:xfrm>
              <a:off x="12531" y="24150"/>
              <a:ext cx="1732" cy="1237"/>
            </a:xfrm>
            <a:custGeom>
              <a:avLst/>
              <a:gdLst>
                <a:gd name="T0" fmla="*/ 1687 w 173169"/>
                <a:gd name="T1" fmla="*/ 1687 h 123692"/>
                <a:gd name="T2" fmla="*/ 1687 w 173169"/>
                <a:gd name="T3" fmla="*/ 123131 h 123692"/>
                <a:gd name="T4" fmla="*/ 172609 w 173169"/>
                <a:gd name="T5" fmla="*/ 123131 h 123692"/>
                <a:gd name="T6" fmla="*/ 172609 w 173169"/>
                <a:gd name="T7" fmla="*/ 1687 h 123692"/>
                <a:gd name="T8" fmla="*/ 91920 w 173169"/>
                <a:gd name="T9" fmla="*/ 79196 h 123692"/>
                <a:gd name="T10" fmla="*/ 82375 w 173169"/>
                <a:gd name="T11" fmla="*/ 79196 h 123692"/>
                <a:gd name="T12" fmla="*/ 9403 w 173169"/>
                <a:gd name="T13" fmla="*/ 6223 h 123692"/>
                <a:gd name="T14" fmla="*/ 9403 w 173169"/>
                <a:gd name="T15" fmla="*/ 6191 h 123692"/>
                <a:gd name="T16" fmla="*/ 9419 w 173169"/>
                <a:gd name="T17" fmla="*/ 6185 h 123692"/>
                <a:gd name="T18" fmla="*/ 164877 w 173169"/>
                <a:gd name="T19" fmla="*/ 6185 h 123692"/>
                <a:gd name="T20" fmla="*/ 164899 w 173169"/>
                <a:gd name="T21" fmla="*/ 6207 h 123692"/>
                <a:gd name="T22" fmla="*/ 164892 w 173169"/>
                <a:gd name="T23" fmla="*/ 6223 h 123692"/>
                <a:gd name="T24" fmla="*/ 59229 w 173169"/>
                <a:gd name="T25" fmla="*/ 62410 h 123692"/>
                <a:gd name="T26" fmla="*/ 6223 w 173169"/>
                <a:gd name="T27" fmla="*/ 115415 h 123692"/>
                <a:gd name="T28" fmla="*/ 6191 w 173169"/>
                <a:gd name="T29" fmla="*/ 115415 h 123692"/>
                <a:gd name="T30" fmla="*/ 6185 w 173169"/>
                <a:gd name="T31" fmla="*/ 115400 h 123692"/>
                <a:gd name="T32" fmla="*/ 6185 w 173169"/>
                <a:gd name="T33" fmla="*/ 9419 h 123692"/>
                <a:gd name="T34" fmla="*/ 6207 w 173169"/>
                <a:gd name="T35" fmla="*/ 9396 h 123692"/>
                <a:gd name="T36" fmla="*/ 6223 w 173169"/>
                <a:gd name="T37" fmla="*/ 9403 h 123692"/>
                <a:gd name="T38" fmla="*/ 62409 w 173169"/>
                <a:gd name="T39" fmla="*/ 65590 h 123692"/>
                <a:gd name="T40" fmla="*/ 79195 w 173169"/>
                <a:gd name="T41" fmla="*/ 82376 h 123692"/>
                <a:gd name="T42" fmla="*/ 95098 w 173169"/>
                <a:gd name="T43" fmla="*/ 82378 h 123692"/>
                <a:gd name="T44" fmla="*/ 95100 w 173169"/>
                <a:gd name="T45" fmla="*/ 82376 h 123692"/>
                <a:gd name="T46" fmla="*/ 111887 w 173169"/>
                <a:gd name="T47" fmla="*/ 65590 h 123692"/>
                <a:gd name="T48" fmla="*/ 164892 w 173169"/>
                <a:gd name="T49" fmla="*/ 118595 h 123692"/>
                <a:gd name="T50" fmla="*/ 164892 w 173169"/>
                <a:gd name="T51" fmla="*/ 118627 h 123692"/>
                <a:gd name="T52" fmla="*/ 164877 w 173169"/>
                <a:gd name="T53" fmla="*/ 118634 h 123692"/>
                <a:gd name="T54" fmla="*/ 9419 w 173169"/>
                <a:gd name="T55" fmla="*/ 118634 h 123692"/>
                <a:gd name="T56" fmla="*/ 9396 w 173169"/>
                <a:gd name="T57" fmla="*/ 118611 h 123692"/>
                <a:gd name="T58" fmla="*/ 9403 w 173169"/>
                <a:gd name="T59" fmla="*/ 118595 h 123692"/>
                <a:gd name="T60" fmla="*/ 115067 w 173169"/>
                <a:gd name="T61" fmla="*/ 62410 h 123692"/>
                <a:gd name="T62" fmla="*/ 168072 w 173169"/>
                <a:gd name="T63" fmla="*/ 9403 h 123692"/>
                <a:gd name="T64" fmla="*/ 168104 w 173169"/>
                <a:gd name="T65" fmla="*/ 9403 h 123692"/>
                <a:gd name="T66" fmla="*/ 168111 w 173169"/>
                <a:gd name="T67" fmla="*/ 9419 h 123692"/>
                <a:gd name="T68" fmla="*/ 168111 w 173169"/>
                <a:gd name="T69" fmla="*/ 115400 h 123692"/>
                <a:gd name="T70" fmla="*/ 168088 w 173169"/>
                <a:gd name="T71" fmla="*/ 115422 h 123692"/>
                <a:gd name="T72" fmla="*/ 168072 w 173169"/>
                <a:gd name="T73" fmla="*/ 115415 h 12369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173169" h="123692">
                  <a:moveTo>
                    <a:pt x="1687" y="1687"/>
                  </a:moveTo>
                  <a:lnTo>
                    <a:pt x="1687" y="123130"/>
                  </a:lnTo>
                  <a:lnTo>
                    <a:pt x="172608" y="123130"/>
                  </a:lnTo>
                  <a:lnTo>
                    <a:pt x="172608" y="1687"/>
                  </a:lnTo>
                  <a:lnTo>
                    <a:pt x="1687" y="1687"/>
                  </a:lnTo>
                  <a:close/>
                  <a:moveTo>
                    <a:pt x="91919" y="79195"/>
                  </a:moveTo>
                  <a:cubicBezTo>
                    <a:pt x="89279" y="81819"/>
                    <a:pt x="85015" y="81819"/>
                    <a:pt x="82375" y="79195"/>
                  </a:cubicBezTo>
                  <a:lnTo>
                    <a:pt x="9403" y="6223"/>
                  </a:lnTo>
                  <a:cubicBezTo>
                    <a:pt x="9394" y="6214"/>
                    <a:pt x="9394" y="6200"/>
                    <a:pt x="9403" y="6191"/>
                  </a:cubicBezTo>
                  <a:cubicBezTo>
                    <a:pt x="9407" y="6187"/>
                    <a:pt x="9413" y="6185"/>
                    <a:pt x="9419" y="6185"/>
                  </a:cubicBezTo>
                  <a:lnTo>
                    <a:pt x="164876" y="6185"/>
                  </a:lnTo>
                  <a:cubicBezTo>
                    <a:pt x="164888" y="6185"/>
                    <a:pt x="164898" y="6195"/>
                    <a:pt x="164898" y="6207"/>
                  </a:cubicBezTo>
                  <a:cubicBezTo>
                    <a:pt x="164898" y="6213"/>
                    <a:pt x="164895" y="6219"/>
                    <a:pt x="164891" y="6223"/>
                  </a:cubicBezTo>
                  <a:lnTo>
                    <a:pt x="91919" y="79195"/>
                  </a:lnTo>
                  <a:close/>
                  <a:moveTo>
                    <a:pt x="59229" y="62409"/>
                  </a:moveTo>
                  <a:lnTo>
                    <a:pt x="6223" y="115414"/>
                  </a:lnTo>
                  <a:cubicBezTo>
                    <a:pt x="6214" y="115423"/>
                    <a:pt x="6200" y="115423"/>
                    <a:pt x="6191" y="115414"/>
                  </a:cubicBezTo>
                  <a:cubicBezTo>
                    <a:pt x="6187" y="115410"/>
                    <a:pt x="6185" y="115404"/>
                    <a:pt x="6185" y="115399"/>
                  </a:cubicBezTo>
                  <a:lnTo>
                    <a:pt x="6185" y="9419"/>
                  </a:lnTo>
                  <a:cubicBezTo>
                    <a:pt x="6185" y="9406"/>
                    <a:pt x="6195" y="9396"/>
                    <a:pt x="6207" y="9396"/>
                  </a:cubicBezTo>
                  <a:cubicBezTo>
                    <a:pt x="6213" y="9397"/>
                    <a:pt x="6219" y="9399"/>
                    <a:pt x="6223" y="9403"/>
                  </a:cubicBezTo>
                  <a:lnTo>
                    <a:pt x="59229" y="62409"/>
                  </a:lnTo>
                  <a:close/>
                  <a:moveTo>
                    <a:pt x="62409" y="65589"/>
                  </a:moveTo>
                  <a:lnTo>
                    <a:pt x="79195" y="82375"/>
                  </a:lnTo>
                  <a:cubicBezTo>
                    <a:pt x="83586" y="86767"/>
                    <a:pt x="90705" y="86768"/>
                    <a:pt x="95097" y="82377"/>
                  </a:cubicBezTo>
                  <a:cubicBezTo>
                    <a:pt x="95098" y="82376"/>
                    <a:pt x="95099" y="82376"/>
                    <a:pt x="95099" y="82375"/>
                  </a:cubicBezTo>
                  <a:lnTo>
                    <a:pt x="111886" y="65589"/>
                  </a:lnTo>
                  <a:lnTo>
                    <a:pt x="164891" y="118594"/>
                  </a:lnTo>
                  <a:cubicBezTo>
                    <a:pt x="164900" y="118603"/>
                    <a:pt x="164900" y="118617"/>
                    <a:pt x="164891" y="118626"/>
                  </a:cubicBezTo>
                  <a:cubicBezTo>
                    <a:pt x="164887" y="118630"/>
                    <a:pt x="164881" y="118633"/>
                    <a:pt x="164876" y="118633"/>
                  </a:cubicBezTo>
                  <a:lnTo>
                    <a:pt x="9419" y="118633"/>
                  </a:lnTo>
                  <a:cubicBezTo>
                    <a:pt x="9406" y="118632"/>
                    <a:pt x="9396" y="118622"/>
                    <a:pt x="9396" y="118610"/>
                  </a:cubicBezTo>
                  <a:cubicBezTo>
                    <a:pt x="9397" y="118604"/>
                    <a:pt x="9399" y="118598"/>
                    <a:pt x="9403" y="118594"/>
                  </a:cubicBezTo>
                  <a:lnTo>
                    <a:pt x="62409" y="65589"/>
                  </a:lnTo>
                  <a:close/>
                  <a:moveTo>
                    <a:pt x="115066" y="62409"/>
                  </a:moveTo>
                  <a:lnTo>
                    <a:pt x="168071" y="9403"/>
                  </a:lnTo>
                  <a:cubicBezTo>
                    <a:pt x="168080" y="9394"/>
                    <a:pt x="168095" y="9394"/>
                    <a:pt x="168103" y="9403"/>
                  </a:cubicBezTo>
                  <a:cubicBezTo>
                    <a:pt x="168107" y="9407"/>
                    <a:pt x="168110" y="9413"/>
                    <a:pt x="168110" y="9419"/>
                  </a:cubicBezTo>
                  <a:lnTo>
                    <a:pt x="168110" y="115399"/>
                  </a:lnTo>
                  <a:cubicBezTo>
                    <a:pt x="168109" y="115411"/>
                    <a:pt x="168099" y="115421"/>
                    <a:pt x="168087" y="115421"/>
                  </a:cubicBezTo>
                  <a:cubicBezTo>
                    <a:pt x="168081" y="115421"/>
                    <a:pt x="168075" y="115418"/>
                    <a:pt x="168071" y="115414"/>
                  </a:cubicBezTo>
                  <a:lnTo>
                    <a:pt x="115066" y="62409"/>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nvGrpSpPr>
          <xdr:cNvPr id="2081" name="Betrieb_Adresse_2" descr="Envelope outline">
            <a:extLst>
              <a:ext uri="{FF2B5EF4-FFF2-40B4-BE49-F238E27FC236}">
                <a16:creationId xmlns:a16="http://schemas.microsoft.com/office/drawing/2014/main" id="{00000000-0008-0000-0100-000021080000}"/>
              </a:ext>
            </a:extLst>
          </xdr:cNvPr>
          <xdr:cNvGrpSpPr>
            <a:grpSpLocks/>
          </xdr:cNvGrpSpPr>
        </xdr:nvGrpSpPr>
        <xdr:grpSpPr bwMode="auto">
          <a:xfrm>
            <a:off x="332014" y="937532"/>
            <a:ext cx="219075" cy="208800"/>
            <a:chOff x="12323" y="26457"/>
            <a:chExt cx="2159" cy="2159"/>
          </a:xfrm>
        </xdr:grpSpPr>
        <xdr:sp macro="" textlink="">
          <xdr:nvSpPr>
            <xdr:cNvPr id="2087" name="Freeform: Shape 33">
              <a:extLst>
                <a:ext uri="{FF2B5EF4-FFF2-40B4-BE49-F238E27FC236}">
                  <a16:creationId xmlns:a16="http://schemas.microsoft.com/office/drawing/2014/main" id="{00000000-0008-0000-0100-000027080000}"/>
                </a:ext>
              </a:extLst>
            </xdr:cNvPr>
            <xdr:cNvSpPr>
              <a:spLocks/>
            </xdr:cNvSpPr>
          </xdr:nvSpPr>
          <xdr:spPr bwMode="auto">
            <a:xfrm>
              <a:off x="12531" y="26912"/>
              <a:ext cx="1732" cy="1237"/>
            </a:xfrm>
            <a:custGeom>
              <a:avLst/>
              <a:gdLst>
                <a:gd name="T0" fmla="*/ 1687 w 173169"/>
                <a:gd name="T1" fmla="*/ 1687 h 123692"/>
                <a:gd name="T2" fmla="*/ 1687 w 173169"/>
                <a:gd name="T3" fmla="*/ 123131 h 123692"/>
                <a:gd name="T4" fmla="*/ 172609 w 173169"/>
                <a:gd name="T5" fmla="*/ 123131 h 123692"/>
                <a:gd name="T6" fmla="*/ 172609 w 173169"/>
                <a:gd name="T7" fmla="*/ 1687 h 123692"/>
                <a:gd name="T8" fmla="*/ 91920 w 173169"/>
                <a:gd name="T9" fmla="*/ 79196 h 123692"/>
                <a:gd name="T10" fmla="*/ 82375 w 173169"/>
                <a:gd name="T11" fmla="*/ 79196 h 123692"/>
                <a:gd name="T12" fmla="*/ 9403 w 173169"/>
                <a:gd name="T13" fmla="*/ 6223 h 123692"/>
                <a:gd name="T14" fmla="*/ 9403 w 173169"/>
                <a:gd name="T15" fmla="*/ 6191 h 123692"/>
                <a:gd name="T16" fmla="*/ 9419 w 173169"/>
                <a:gd name="T17" fmla="*/ 6185 h 123692"/>
                <a:gd name="T18" fmla="*/ 164877 w 173169"/>
                <a:gd name="T19" fmla="*/ 6185 h 123692"/>
                <a:gd name="T20" fmla="*/ 164899 w 173169"/>
                <a:gd name="T21" fmla="*/ 6207 h 123692"/>
                <a:gd name="T22" fmla="*/ 164892 w 173169"/>
                <a:gd name="T23" fmla="*/ 6223 h 123692"/>
                <a:gd name="T24" fmla="*/ 59229 w 173169"/>
                <a:gd name="T25" fmla="*/ 62410 h 123692"/>
                <a:gd name="T26" fmla="*/ 6223 w 173169"/>
                <a:gd name="T27" fmla="*/ 115415 h 123692"/>
                <a:gd name="T28" fmla="*/ 6191 w 173169"/>
                <a:gd name="T29" fmla="*/ 115415 h 123692"/>
                <a:gd name="T30" fmla="*/ 6185 w 173169"/>
                <a:gd name="T31" fmla="*/ 115400 h 123692"/>
                <a:gd name="T32" fmla="*/ 6185 w 173169"/>
                <a:gd name="T33" fmla="*/ 9419 h 123692"/>
                <a:gd name="T34" fmla="*/ 6207 w 173169"/>
                <a:gd name="T35" fmla="*/ 9396 h 123692"/>
                <a:gd name="T36" fmla="*/ 6223 w 173169"/>
                <a:gd name="T37" fmla="*/ 9403 h 123692"/>
                <a:gd name="T38" fmla="*/ 62409 w 173169"/>
                <a:gd name="T39" fmla="*/ 65590 h 123692"/>
                <a:gd name="T40" fmla="*/ 79195 w 173169"/>
                <a:gd name="T41" fmla="*/ 82376 h 123692"/>
                <a:gd name="T42" fmla="*/ 95098 w 173169"/>
                <a:gd name="T43" fmla="*/ 82378 h 123692"/>
                <a:gd name="T44" fmla="*/ 95100 w 173169"/>
                <a:gd name="T45" fmla="*/ 82376 h 123692"/>
                <a:gd name="T46" fmla="*/ 111887 w 173169"/>
                <a:gd name="T47" fmla="*/ 65590 h 123692"/>
                <a:gd name="T48" fmla="*/ 164892 w 173169"/>
                <a:gd name="T49" fmla="*/ 118595 h 123692"/>
                <a:gd name="T50" fmla="*/ 164892 w 173169"/>
                <a:gd name="T51" fmla="*/ 118627 h 123692"/>
                <a:gd name="T52" fmla="*/ 164877 w 173169"/>
                <a:gd name="T53" fmla="*/ 118634 h 123692"/>
                <a:gd name="T54" fmla="*/ 9419 w 173169"/>
                <a:gd name="T55" fmla="*/ 118634 h 123692"/>
                <a:gd name="T56" fmla="*/ 9396 w 173169"/>
                <a:gd name="T57" fmla="*/ 118611 h 123692"/>
                <a:gd name="T58" fmla="*/ 9403 w 173169"/>
                <a:gd name="T59" fmla="*/ 118595 h 123692"/>
                <a:gd name="T60" fmla="*/ 115067 w 173169"/>
                <a:gd name="T61" fmla="*/ 62410 h 123692"/>
                <a:gd name="T62" fmla="*/ 168072 w 173169"/>
                <a:gd name="T63" fmla="*/ 9403 h 123692"/>
                <a:gd name="T64" fmla="*/ 168104 w 173169"/>
                <a:gd name="T65" fmla="*/ 9403 h 123692"/>
                <a:gd name="T66" fmla="*/ 168111 w 173169"/>
                <a:gd name="T67" fmla="*/ 9419 h 123692"/>
                <a:gd name="T68" fmla="*/ 168111 w 173169"/>
                <a:gd name="T69" fmla="*/ 115400 h 123692"/>
                <a:gd name="T70" fmla="*/ 168088 w 173169"/>
                <a:gd name="T71" fmla="*/ 115422 h 123692"/>
                <a:gd name="T72" fmla="*/ 168072 w 173169"/>
                <a:gd name="T73" fmla="*/ 115415 h 12369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173169" h="123692">
                  <a:moveTo>
                    <a:pt x="1687" y="1687"/>
                  </a:moveTo>
                  <a:lnTo>
                    <a:pt x="1687" y="123130"/>
                  </a:lnTo>
                  <a:lnTo>
                    <a:pt x="172608" y="123130"/>
                  </a:lnTo>
                  <a:lnTo>
                    <a:pt x="172608" y="1687"/>
                  </a:lnTo>
                  <a:lnTo>
                    <a:pt x="1687" y="1687"/>
                  </a:lnTo>
                  <a:close/>
                  <a:moveTo>
                    <a:pt x="91919" y="79195"/>
                  </a:moveTo>
                  <a:cubicBezTo>
                    <a:pt x="89279" y="81819"/>
                    <a:pt x="85015" y="81819"/>
                    <a:pt x="82375" y="79195"/>
                  </a:cubicBezTo>
                  <a:lnTo>
                    <a:pt x="9403" y="6223"/>
                  </a:lnTo>
                  <a:cubicBezTo>
                    <a:pt x="9394" y="6214"/>
                    <a:pt x="9394" y="6200"/>
                    <a:pt x="9403" y="6191"/>
                  </a:cubicBezTo>
                  <a:cubicBezTo>
                    <a:pt x="9407" y="6187"/>
                    <a:pt x="9413" y="6185"/>
                    <a:pt x="9419" y="6185"/>
                  </a:cubicBezTo>
                  <a:lnTo>
                    <a:pt x="164876" y="6185"/>
                  </a:lnTo>
                  <a:cubicBezTo>
                    <a:pt x="164888" y="6185"/>
                    <a:pt x="164898" y="6195"/>
                    <a:pt x="164898" y="6207"/>
                  </a:cubicBezTo>
                  <a:cubicBezTo>
                    <a:pt x="164898" y="6213"/>
                    <a:pt x="164895" y="6219"/>
                    <a:pt x="164891" y="6223"/>
                  </a:cubicBezTo>
                  <a:lnTo>
                    <a:pt x="91919" y="79195"/>
                  </a:lnTo>
                  <a:close/>
                  <a:moveTo>
                    <a:pt x="59229" y="62409"/>
                  </a:moveTo>
                  <a:lnTo>
                    <a:pt x="6223" y="115414"/>
                  </a:lnTo>
                  <a:cubicBezTo>
                    <a:pt x="6214" y="115423"/>
                    <a:pt x="6200" y="115423"/>
                    <a:pt x="6191" y="115414"/>
                  </a:cubicBezTo>
                  <a:cubicBezTo>
                    <a:pt x="6187" y="115410"/>
                    <a:pt x="6185" y="115404"/>
                    <a:pt x="6185" y="115399"/>
                  </a:cubicBezTo>
                  <a:lnTo>
                    <a:pt x="6185" y="9419"/>
                  </a:lnTo>
                  <a:cubicBezTo>
                    <a:pt x="6185" y="9406"/>
                    <a:pt x="6195" y="9396"/>
                    <a:pt x="6207" y="9396"/>
                  </a:cubicBezTo>
                  <a:cubicBezTo>
                    <a:pt x="6213" y="9397"/>
                    <a:pt x="6219" y="9399"/>
                    <a:pt x="6223" y="9403"/>
                  </a:cubicBezTo>
                  <a:lnTo>
                    <a:pt x="59229" y="62409"/>
                  </a:lnTo>
                  <a:close/>
                  <a:moveTo>
                    <a:pt x="62409" y="65589"/>
                  </a:moveTo>
                  <a:lnTo>
                    <a:pt x="79195" y="82375"/>
                  </a:lnTo>
                  <a:cubicBezTo>
                    <a:pt x="83586" y="86767"/>
                    <a:pt x="90705" y="86768"/>
                    <a:pt x="95097" y="82377"/>
                  </a:cubicBezTo>
                  <a:cubicBezTo>
                    <a:pt x="95098" y="82376"/>
                    <a:pt x="95099" y="82376"/>
                    <a:pt x="95099" y="82375"/>
                  </a:cubicBezTo>
                  <a:lnTo>
                    <a:pt x="111886" y="65589"/>
                  </a:lnTo>
                  <a:lnTo>
                    <a:pt x="164891" y="118594"/>
                  </a:lnTo>
                  <a:cubicBezTo>
                    <a:pt x="164900" y="118603"/>
                    <a:pt x="164900" y="118617"/>
                    <a:pt x="164891" y="118626"/>
                  </a:cubicBezTo>
                  <a:cubicBezTo>
                    <a:pt x="164887" y="118630"/>
                    <a:pt x="164881" y="118633"/>
                    <a:pt x="164876" y="118633"/>
                  </a:cubicBezTo>
                  <a:lnTo>
                    <a:pt x="9419" y="118633"/>
                  </a:lnTo>
                  <a:cubicBezTo>
                    <a:pt x="9406" y="118632"/>
                    <a:pt x="9396" y="118622"/>
                    <a:pt x="9396" y="118610"/>
                  </a:cubicBezTo>
                  <a:cubicBezTo>
                    <a:pt x="9397" y="118604"/>
                    <a:pt x="9399" y="118598"/>
                    <a:pt x="9403" y="118594"/>
                  </a:cubicBezTo>
                  <a:lnTo>
                    <a:pt x="62409" y="65589"/>
                  </a:lnTo>
                  <a:close/>
                  <a:moveTo>
                    <a:pt x="115066" y="62409"/>
                  </a:moveTo>
                  <a:lnTo>
                    <a:pt x="168071" y="9403"/>
                  </a:lnTo>
                  <a:cubicBezTo>
                    <a:pt x="168080" y="9394"/>
                    <a:pt x="168095" y="9394"/>
                    <a:pt x="168103" y="9403"/>
                  </a:cubicBezTo>
                  <a:cubicBezTo>
                    <a:pt x="168107" y="9407"/>
                    <a:pt x="168110" y="9413"/>
                    <a:pt x="168110" y="9419"/>
                  </a:cubicBezTo>
                  <a:lnTo>
                    <a:pt x="168110" y="115399"/>
                  </a:lnTo>
                  <a:cubicBezTo>
                    <a:pt x="168109" y="115411"/>
                    <a:pt x="168099" y="115421"/>
                    <a:pt x="168087" y="115421"/>
                  </a:cubicBezTo>
                  <a:cubicBezTo>
                    <a:pt x="168081" y="115421"/>
                    <a:pt x="168075" y="115418"/>
                    <a:pt x="168071" y="115414"/>
                  </a:cubicBezTo>
                  <a:lnTo>
                    <a:pt x="115066" y="62409"/>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nvGrpSpPr>
          <xdr:cNvPr id="2082" name="Betrieb_Zuordnung" descr="Factory outline">
            <a:extLst>
              <a:ext uri="{FF2B5EF4-FFF2-40B4-BE49-F238E27FC236}">
                <a16:creationId xmlns:a16="http://schemas.microsoft.com/office/drawing/2014/main" id="{00000000-0008-0000-0100-000022080000}"/>
              </a:ext>
            </a:extLst>
          </xdr:cNvPr>
          <xdr:cNvGrpSpPr>
            <a:grpSpLocks/>
          </xdr:cNvGrpSpPr>
        </xdr:nvGrpSpPr>
        <xdr:grpSpPr bwMode="auto">
          <a:xfrm>
            <a:off x="332014" y="1242332"/>
            <a:ext cx="219075" cy="208800"/>
            <a:chOff x="12323" y="29219"/>
            <a:chExt cx="2159" cy="2159"/>
          </a:xfrm>
        </xdr:grpSpPr>
        <xdr:sp macro="" textlink="">
          <xdr:nvSpPr>
            <xdr:cNvPr id="2086" name="Freeform: Shape 40">
              <a:extLst>
                <a:ext uri="{FF2B5EF4-FFF2-40B4-BE49-F238E27FC236}">
                  <a16:creationId xmlns:a16="http://schemas.microsoft.com/office/drawing/2014/main" id="{00000000-0008-0000-0100-000026080000}"/>
                </a:ext>
              </a:extLst>
            </xdr:cNvPr>
            <xdr:cNvSpPr>
              <a:spLocks/>
            </xdr:cNvSpPr>
          </xdr:nvSpPr>
          <xdr:spPr bwMode="auto">
            <a:xfrm>
              <a:off x="12599" y="29494"/>
              <a:ext cx="1596" cy="1597"/>
            </a:xfrm>
            <a:custGeom>
              <a:avLst/>
              <a:gdLst>
                <a:gd name="T0" fmla="*/ 98392 w 159676"/>
                <a:gd name="T1" fmla="*/ 92443 h 159676"/>
                <a:gd name="T2" fmla="*/ 98392 w 159676"/>
                <a:gd name="T3" fmla="*/ 60958 h 159676"/>
                <a:gd name="T4" fmla="*/ 37416 w 159676"/>
                <a:gd name="T5" fmla="*/ 92576 h 159676"/>
                <a:gd name="T6" fmla="*/ 30766 w 159676"/>
                <a:gd name="T7" fmla="*/ 1687 h 159676"/>
                <a:gd name="T8" fmla="*/ 8591 w 159676"/>
                <a:gd name="T9" fmla="*/ 1687 h 159676"/>
                <a:gd name="T10" fmla="*/ 1687 w 159676"/>
                <a:gd name="T11" fmla="*/ 96143 h 159676"/>
                <a:gd name="T12" fmla="*/ 1687 w 159676"/>
                <a:gd name="T13" fmla="*/ 159114 h 159676"/>
                <a:gd name="T14" fmla="*/ 159114 w 159676"/>
                <a:gd name="T15" fmla="*/ 159114 h 159676"/>
                <a:gd name="T16" fmla="*/ 159114 w 159676"/>
                <a:gd name="T17" fmla="*/ 60958 h 159676"/>
                <a:gd name="T18" fmla="*/ 26583 w 159676"/>
                <a:gd name="T19" fmla="*/ 6185 h 159676"/>
                <a:gd name="T20" fmla="*/ 27406 w 159676"/>
                <a:gd name="T21" fmla="*/ 17429 h 159676"/>
                <a:gd name="T22" fmla="*/ 11951 w 159676"/>
                <a:gd name="T23" fmla="*/ 17429 h 159676"/>
                <a:gd name="T24" fmla="*/ 12774 w 159676"/>
                <a:gd name="T25" fmla="*/ 6185 h 159676"/>
                <a:gd name="T26" fmla="*/ 11620 w 159676"/>
                <a:gd name="T27" fmla="*/ 21927 h 159676"/>
                <a:gd name="T28" fmla="*/ 27736 w 159676"/>
                <a:gd name="T29" fmla="*/ 21927 h 159676"/>
                <a:gd name="T30" fmla="*/ 33001 w 159676"/>
                <a:gd name="T31" fmla="*/ 93894 h 159676"/>
                <a:gd name="T32" fmla="*/ 6356 w 159676"/>
                <a:gd name="T33" fmla="*/ 93894 h 159676"/>
                <a:gd name="T34" fmla="*/ 36096 w 159676"/>
                <a:gd name="T35" fmla="*/ 98322 h 159676"/>
                <a:gd name="T36" fmla="*/ 93894 w 159676"/>
                <a:gd name="T37" fmla="*/ 68357 h 159676"/>
                <a:gd name="T38" fmla="*/ 93894 w 159676"/>
                <a:gd name="T39" fmla="*/ 99843 h 159676"/>
                <a:gd name="T40" fmla="*/ 154616 w 159676"/>
                <a:gd name="T41" fmla="*/ 68357 h 159676"/>
                <a:gd name="T42" fmla="*/ 154616 w 159676"/>
                <a:gd name="T43" fmla="*/ 154616 h 159676"/>
                <a:gd name="T44" fmla="*/ 6185 w 159676"/>
                <a:gd name="T45" fmla="*/ 154616 h 159676"/>
                <a:gd name="T46" fmla="*/ 6185 w 159676"/>
                <a:gd name="T47" fmla="*/ 98392 h 159676"/>
                <a:gd name="T48" fmla="*/ 33330 w 159676"/>
                <a:gd name="T49" fmla="*/ 98392 h 15967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59676" h="159676">
                  <a:moveTo>
                    <a:pt x="98392" y="92443"/>
                  </a:moveTo>
                  <a:lnTo>
                    <a:pt x="98392" y="60958"/>
                  </a:lnTo>
                  <a:lnTo>
                    <a:pt x="37416" y="92576"/>
                  </a:lnTo>
                  <a:lnTo>
                    <a:pt x="30766" y="1687"/>
                  </a:lnTo>
                  <a:lnTo>
                    <a:pt x="8591" y="1687"/>
                  </a:lnTo>
                  <a:lnTo>
                    <a:pt x="1687" y="96143"/>
                  </a:lnTo>
                  <a:lnTo>
                    <a:pt x="1687" y="159114"/>
                  </a:lnTo>
                  <a:lnTo>
                    <a:pt x="159114" y="159114"/>
                  </a:lnTo>
                  <a:lnTo>
                    <a:pt x="159114" y="60958"/>
                  </a:lnTo>
                  <a:lnTo>
                    <a:pt x="98392" y="92443"/>
                  </a:lnTo>
                  <a:close/>
                  <a:moveTo>
                    <a:pt x="26583" y="6185"/>
                  </a:moveTo>
                  <a:lnTo>
                    <a:pt x="27406" y="17429"/>
                  </a:lnTo>
                  <a:lnTo>
                    <a:pt x="11951" y="17429"/>
                  </a:lnTo>
                  <a:lnTo>
                    <a:pt x="12774" y="6185"/>
                  </a:lnTo>
                  <a:lnTo>
                    <a:pt x="26583" y="6185"/>
                  </a:lnTo>
                  <a:close/>
                  <a:moveTo>
                    <a:pt x="11620" y="21927"/>
                  </a:moveTo>
                  <a:lnTo>
                    <a:pt x="27736" y="21927"/>
                  </a:lnTo>
                  <a:lnTo>
                    <a:pt x="33001" y="93894"/>
                  </a:lnTo>
                  <a:lnTo>
                    <a:pt x="6356" y="93894"/>
                  </a:lnTo>
                  <a:lnTo>
                    <a:pt x="11620" y="21927"/>
                  </a:lnTo>
                  <a:close/>
                  <a:moveTo>
                    <a:pt x="36096" y="98322"/>
                  </a:moveTo>
                  <a:lnTo>
                    <a:pt x="93894" y="68357"/>
                  </a:lnTo>
                  <a:lnTo>
                    <a:pt x="93894" y="99843"/>
                  </a:lnTo>
                  <a:lnTo>
                    <a:pt x="154616" y="68357"/>
                  </a:lnTo>
                  <a:lnTo>
                    <a:pt x="154616" y="154616"/>
                  </a:lnTo>
                  <a:lnTo>
                    <a:pt x="6185" y="154616"/>
                  </a:lnTo>
                  <a:lnTo>
                    <a:pt x="6185" y="98392"/>
                  </a:lnTo>
                  <a:lnTo>
                    <a:pt x="33330" y="98392"/>
                  </a:lnTo>
                  <a:lnTo>
                    <a:pt x="36096" y="98322"/>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85" name="Freeform: Shape 41">
              <a:extLst>
                <a:ext uri="{FF2B5EF4-FFF2-40B4-BE49-F238E27FC236}">
                  <a16:creationId xmlns:a16="http://schemas.microsoft.com/office/drawing/2014/main" id="{00000000-0008-0000-0100-000025080000}"/>
                </a:ext>
              </a:extLst>
            </xdr:cNvPr>
            <xdr:cNvSpPr>
              <a:spLocks/>
            </xdr:cNvSpPr>
          </xdr:nvSpPr>
          <xdr:spPr bwMode="auto">
            <a:xfrm>
              <a:off x="12756" y="30663"/>
              <a:ext cx="382" cy="248"/>
            </a:xfrm>
            <a:custGeom>
              <a:avLst/>
              <a:gdLst>
                <a:gd name="T0" fmla="*/ 1687 w 38232"/>
                <a:gd name="T1" fmla="*/ 24177 h 24738"/>
                <a:gd name="T2" fmla="*/ 37670 w 38232"/>
                <a:gd name="T3" fmla="*/ 24177 h 24738"/>
                <a:gd name="T4" fmla="*/ 37670 w 38232"/>
                <a:gd name="T5" fmla="*/ 1687 h 24738"/>
                <a:gd name="T6" fmla="*/ 1687 w 38232"/>
                <a:gd name="T7" fmla="*/ 1687 h 24738"/>
                <a:gd name="T8" fmla="*/ 33172 w 38232"/>
                <a:gd name="T9" fmla="*/ 19679 h 24738"/>
                <a:gd name="T10" fmla="*/ 21927 w 38232"/>
                <a:gd name="T11" fmla="*/ 19679 h 24738"/>
                <a:gd name="T12" fmla="*/ 21927 w 38232"/>
                <a:gd name="T13" fmla="*/ 6185 h 24738"/>
                <a:gd name="T14" fmla="*/ 33172 w 38232"/>
                <a:gd name="T15" fmla="*/ 6185 h 24738"/>
                <a:gd name="T16" fmla="*/ 6185 w 38232"/>
                <a:gd name="T17" fmla="*/ 6185 h 24738"/>
                <a:gd name="T18" fmla="*/ 17429 w 38232"/>
                <a:gd name="T19" fmla="*/ 6185 h 24738"/>
                <a:gd name="T20" fmla="*/ 17429 w 38232"/>
                <a:gd name="T21" fmla="*/ 19679 h 24738"/>
                <a:gd name="T22" fmla="*/ 6185 w 38232"/>
                <a:gd name="T23" fmla="*/ 19679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1687" y="24176"/>
                  </a:moveTo>
                  <a:lnTo>
                    <a:pt x="37670" y="24176"/>
                  </a:lnTo>
                  <a:lnTo>
                    <a:pt x="37670" y="1687"/>
                  </a:lnTo>
                  <a:lnTo>
                    <a:pt x="1687" y="1687"/>
                  </a:lnTo>
                  <a:lnTo>
                    <a:pt x="1687" y="24176"/>
                  </a:lnTo>
                  <a:close/>
                  <a:moveTo>
                    <a:pt x="33172" y="19678"/>
                  </a:moveTo>
                  <a:lnTo>
                    <a:pt x="21927" y="19678"/>
                  </a:lnTo>
                  <a:lnTo>
                    <a:pt x="21927" y="6185"/>
                  </a:lnTo>
                  <a:lnTo>
                    <a:pt x="33172" y="6185"/>
                  </a:lnTo>
                  <a:lnTo>
                    <a:pt x="33172" y="19678"/>
                  </a:lnTo>
                  <a:close/>
                  <a:moveTo>
                    <a:pt x="6185" y="6185"/>
                  </a:moveTo>
                  <a:lnTo>
                    <a:pt x="17429" y="6185"/>
                  </a:lnTo>
                  <a:lnTo>
                    <a:pt x="17429" y="19678"/>
                  </a:lnTo>
                  <a:lnTo>
                    <a:pt x="6185" y="19678"/>
                  </a:lnTo>
                  <a:lnTo>
                    <a:pt x="6185" y="6185"/>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84" name="Freeform: Shape 42">
              <a:extLst>
                <a:ext uri="{FF2B5EF4-FFF2-40B4-BE49-F238E27FC236}">
                  <a16:creationId xmlns:a16="http://schemas.microsoft.com/office/drawing/2014/main" id="{00000000-0008-0000-0100-000024080000}"/>
                </a:ext>
              </a:extLst>
            </xdr:cNvPr>
            <xdr:cNvSpPr>
              <a:spLocks/>
            </xdr:cNvSpPr>
          </xdr:nvSpPr>
          <xdr:spPr bwMode="auto">
            <a:xfrm>
              <a:off x="13206" y="30663"/>
              <a:ext cx="382" cy="248"/>
            </a:xfrm>
            <a:custGeom>
              <a:avLst/>
              <a:gdLst>
                <a:gd name="T0" fmla="*/ 1687 w 38232"/>
                <a:gd name="T1" fmla="*/ 24177 h 24738"/>
                <a:gd name="T2" fmla="*/ 37670 w 38232"/>
                <a:gd name="T3" fmla="*/ 24177 h 24738"/>
                <a:gd name="T4" fmla="*/ 37670 w 38232"/>
                <a:gd name="T5" fmla="*/ 1687 h 24738"/>
                <a:gd name="T6" fmla="*/ 1687 w 38232"/>
                <a:gd name="T7" fmla="*/ 1687 h 24738"/>
                <a:gd name="T8" fmla="*/ 33172 w 38232"/>
                <a:gd name="T9" fmla="*/ 19679 h 24738"/>
                <a:gd name="T10" fmla="*/ 21927 w 38232"/>
                <a:gd name="T11" fmla="*/ 19679 h 24738"/>
                <a:gd name="T12" fmla="*/ 21927 w 38232"/>
                <a:gd name="T13" fmla="*/ 6185 h 24738"/>
                <a:gd name="T14" fmla="*/ 33172 w 38232"/>
                <a:gd name="T15" fmla="*/ 6185 h 24738"/>
                <a:gd name="T16" fmla="*/ 6185 w 38232"/>
                <a:gd name="T17" fmla="*/ 6185 h 24738"/>
                <a:gd name="T18" fmla="*/ 17429 w 38232"/>
                <a:gd name="T19" fmla="*/ 6185 h 24738"/>
                <a:gd name="T20" fmla="*/ 17429 w 38232"/>
                <a:gd name="T21" fmla="*/ 19679 h 24738"/>
                <a:gd name="T22" fmla="*/ 6185 w 38232"/>
                <a:gd name="T23" fmla="*/ 19679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1687" y="24176"/>
                  </a:moveTo>
                  <a:lnTo>
                    <a:pt x="37670" y="24176"/>
                  </a:lnTo>
                  <a:lnTo>
                    <a:pt x="37670" y="1687"/>
                  </a:lnTo>
                  <a:lnTo>
                    <a:pt x="1687" y="1687"/>
                  </a:lnTo>
                  <a:lnTo>
                    <a:pt x="1687" y="24176"/>
                  </a:lnTo>
                  <a:close/>
                  <a:moveTo>
                    <a:pt x="33172" y="19678"/>
                  </a:moveTo>
                  <a:lnTo>
                    <a:pt x="21927" y="19678"/>
                  </a:lnTo>
                  <a:lnTo>
                    <a:pt x="21927" y="6185"/>
                  </a:lnTo>
                  <a:lnTo>
                    <a:pt x="33172" y="6185"/>
                  </a:lnTo>
                  <a:lnTo>
                    <a:pt x="33172" y="19678"/>
                  </a:lnTo>
                  <a:close/>
                  <a:moveTo>
                    <a:pt x="6185" y="6185"/>
                  </a:moveTo>
                  <a:lnTo>
                    <a:pt x="17429" y="6185"/>
                  </a:lnTo>
                  <a:lnTo>
                    <a:pt x="17429" y="19678"/>
                  </a:lnTo>
                  <a:lnTo>
                    <a:pt x="6185" y="19678"/>
                  </a:lnTo>
                  <a:lnTo>
                    <a:pt x="6185" y="6185"/>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83" name="Freeform: Shape 43">
              <a:extLst>
                <a:ext uri="{FF2B5EF4-FFF2-40B4-BE49-F238E27FC236}">
                  <a16:creationId xmlns:a16="http://schemas.microsoft.com/office/drawing/2014/main" id="{00000000-0008-0000-0100-000023080000}"/>
                </a:ext>
              </a:extLst>
            </xdr:cNvPr>
            <xdr:cNvSpPr>
              <a:spLocks/>
            </xdr:cNvSpPr>
          </xdr:nvSpPr>
          <xdr:spPr bwMode="auto">
            <a:xfrm>
              <a:off x="13656" y="30663"/>
              <a:ext cx="382" cy="248"/>
            </a:xfrm>
            <a:custGeom>
              <a:avLst/>
              <a:gdLst>
                <a:gd name="T0" fmla="*/ 37670 w 38232"/>
                <a:gd name="T1" fmla="*/ 1687 h 24738"/>
                <a:gd name="T2" fmla="*/ 1687 w 38232"/>
                <a:gd name="T3" fmla="*/ 1687 h 24738"/>
                <a:gd name="T4" fmla="*/ 1687 w 38232"/>
                <a:gd name="T5" fmla="*/ 24177 h 24738"/>
                <a:gd name="T6" fmla="*/ 37670 w 38232"/>
                <a:gd name="T7" fmla="*/ 24177 h 24738"/>
                <a:gd name="T8" fmla="*/ 6185 w 38232"/>
                <a:gd name="T9" fmla="*/ 6185 h 24738"/>
                <a:gd name="T10" fmla="*/ 17429 w 38232"/>
                <a:gd name="T11" fmla="*/ 6185 h 24738"/>
                <a:gd name="T12" fmla="*/ 17429 w 38232"/>
                <a:gd name="T13" fmla="*/ 19679 h 24738"/>
                <a:gd name="T14" fmla="*/ 6185 w 38232"/>
                <a:gd name="T15" fmla="*/ 19679 h 24738"/>
                <a:gd name="T16" fmla="*/ 33172 w 38232"/>
                <a:gd name="T17" fmla="*/ 19679 h 24738"/>
                <a:gd name="T18" fmla="*/ 21927 w 38232"/>
                <a:gd name="T19" fmla="*/ 19679 h 24738"/>
                <a:gd name="T20" fmla="*/ 21927 w 38232"/>
                <a:gd name="T21" fmla="*/ 6185 h 24738"/>
                <a:gd name="T22" fmla="*/ 33172 w 38232"/>
                <a:gd name="T23" fmla="*/ 6185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37670" y="1687"/>
                  </a:moveTo>
                  <a:lnTo>
                    <a:pt x="1687" y="1687"/>
                  </a:lnTo>
                  <a:lnTo>
                    <a:pt x="1687" y="24176"/>
                  </a:lnTo>
                  <a:lnTo>
                    <a:pt x="37670" y="24176"/>
                  </a:lnTo>
                  <a:lnTo>
                    <a:pt x="37670" y="1687"/>
                  </a:lnTo>
                  <a:close/>
                  <a:moveTo>
                    <a:pt x="6185" y="6185"/>
                  </a:moveTo>
                  <a:lnTo>
                    <a:pt x="17429" y="6185"/>
                  </a:lnTo>
                  <a:lnTo>
                    <a:pt x="17429" y="19678"/>
                  </a:lnTo>
                  <a:lnTo>
                    <a:pt x="6185" y="19678"/>
                  </a:lnTo>
                  <a:lnTo>
                    <a:pt x="6185" y="6185"/>
                  </a:lnTo>
                  <a:close/>
                  <a:moveTo>
                    <a:pt x="33172" y="19678"/>
                  </a:moveTo>
                  <a:lnTo>
                    <a:pt x="21927" y="19678"/>
                  </a:lnTo>
                  <a:lnTo>
                    <a:pt x="21927" y="6185"/>
                  </a:lnTo>
                  <a:lnTo>
                    <a:pt x="33172" y="6185"/>
                  </a:lnTo>
                  <a:lnTo>
                    <a:pt x="33172" y="19678"/>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grpSp>
    <xdr:clientData/>
  </xdr:twoCellAnchor>
  <mc:AlternateContent xmlns:mc="http://schemas.openxmlformats.org/markup-compatibility/2006">
    <mc:Choice xmlns:a14="http://schemas.microsoft.com/office/drawing/2010/main" Requires="a14">
      <xdr:twoCellAnchor editAs="oneCell">
        <xdr:from>
          <xdr:col>13</xdr:col>
          <xdr:colOff>190500</xdr:colOff>
          <xdr:row>19</xdr:row>
          <xdr:rowOff>38100</xdr:rowOff>
        </xdr:from>
        <xdr:to>
          <xdr:col>15</xdr:col>
          <xdr:colOff>28575</xdr:colOff>
          <xdr:row>20</xdr:row>
          <xdr:rowOff>38100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100-00005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12</xdr:col>
      <xdr:colOff>24888</xdr:colOff>
      <xdr:row>60</xdr:row>
      <xdr:rowOff>76971</xdr:rowOff>
    </xdr:from>
    <xdr:to>
      <xdr:col>17</xdr:col>
      <xdr:colOff>340788</xdr:colOff>
      <xdr:row>68</xdr:row>
      <xdr:rowOff>18828</xdr:rowOff>
    </xdr:to>
    <xdr:grpSp>
      <xdr:nvGrpSpPr>
        <xdr:cNvPr id="2066" name="Zielsetzung_Pyramide">
          <a:extLst>
            <a:ext uri="{FF2B5EF4-FFF2-40B4-BE49-F238E27FC236}">
              <a16:creationId xmlns:a16="http://schemas.microsoft.com/office/drawing/2014/main" id="{00000000-0008-0000-0100-000012080000}"/>
            </a:ext>
          </a:extLst>
        </xdr:cNvPr>
        <xdr:cNvGrpSpPr/>
      </xdr:nvGrpSpPr>
      <xdr:grpSpPr>
        <a:xfrm>
          <a:off x="4349238" y="14907396"/>
          <a:ext cx="2220900" cy="1913532"/>
          <a:chOff x="4349238" y="8535171"/>
          <a:chExt cx="2220900" cy="1913532"/>
        </a:xfrm>
      </xdr:grpSpPr>
      <mc:AlternateContent xmlns:mc="http://schemas.openxmlformats.org/markup-compatibility/2006" xmlns:a14="http://schemas.microsoft.com/office/drawing/2010/main">
        <mc:Choice Requires="a14">
          <xdr:pic>
            <xdr:nvPicPr>
              <xdr:cNvPr id="2050" name="Zielsetzung_Summe">
                <a:extLst>
                  <a:ext uri="{FF2B5EF4-FFF2-40B4-BE49-F238E27FC236}">
                    <a16:creationId xmlns:a16="http://schemas.microsoft.com/office/drawing/2014/main" id="{00000000-0008-0000-0100-000002080000}"/>
                  </a:ext>
                </a:extLst>
              </xdr:cNvPr>
              <xdr:cNvPicPr>
                <a:picLocks noChangeArrowheads="1"/>
                <a:extLst>
                  <a:ext uri="{84589F7E-364E-4C9E-8A38-B11213B215E9}">
                    <a14:cameraTool cellRange="TriangleSelection" spid="_x0000_s104433"/>
                  </a:ext>
                </a:extLst>
              </xdr:cNvPicPr>
            </xdr:nvPicPr>
            <xdr:blipFill rotWithShape="1">
              <a:blip xmlns:r="http://schemas.openxmlformats.org/officeDocument/2006/relationships" r:embed="rId9"/>
              <a:srcRect l="2099" r="2761" b="2074"/>
              <a:stretch>
                <a:fillRect/>
              </a:stretch>
            </xdr:blipFill>
            <xdr:spPr bwMode="auto">
              <a:xfrm>
                <a:off x="4909860" y="9449770"/>
                <a:ext cx="1098000" cy="957365"/>
              </a:xfrm>
              <a:prstGeom prst="rect">
                <a:avLst/>
              </a:prstGeom>
              <a:noFill/>
              <a:extLst>
                <a:ext uri="{909E8E84-426E-40DD-AFC4-6F175D3DCCD1}">
                  <a14:hiddenFill>
                    <a:solidFill>
                      <a:srgbClr val="FFFFFF"/>
                    </a:solidFill>
                  </a14:hiddenFill>
                </a:ext>
              </a:extLst>
            </xdr:spPr>
          </xdr:pic>
        </mc:Choice>
        <mc:Fallback xmlns=""/>
      </mc:AlternateContent>
      <xdr:grpSp>
        <xdr:nvGrpSpPr>
          <xdr:cNvPr id="51" name="Zielsetzung_Umweltverträglichkeit">
            <a:extLst>
              <a:ext uri="{FF2B5EF4-FFF2-40B4-BE49-F238E27FC236}">
                <a16:creationId xmlns:a16="http://schemas.microsoft.com/office/drawing/2014/main" id="{00000000-0008-0000-0100-000033000000}"/>
              </a:ext>
            </a:extLst>
          </xdr:cNvPr>
          <xdr:cNvGrpSpPr/>
        </xdr:nvGrpSpPr>
        <xdr:grpSpPr>
          <a:xfrm>
            <a:off x="4375959" y="9465368"/>
            <a:ext cx="1088059" cy="983309"/>
            <a:chOff x="59088" y="1086824"/>
            <a:chExt cx="1088059" cy="991771"/>
          </a:xfrm>
          <a:scene3d>
            <a:camera prst="orthographicFront"/>
            <a:lightRig rig="flat" dir="t"/>
          </a:scene3d>
        </xdr:grpSpPr>
        <xdr:sp macro="" textlink="">
          <xdr:nvSpPr>
            <xdr:cNvPr id="52" name="Isosceles Triangle 51">
              <a:extLst>
                <a:ext uri="{FF2B5EF4-FFF2-40B4-BE49-F238E27FC236}">
                  <a16:creationId xmlns:a16="http://schemas.microsoft.com/office/drawing/2014/main" id="{00000000-0008-0000-0100-000034000000}"/>
                </a:ext>
              </a:extLst>
            </xdr:cNvPr>
            <xdr:cNvSpPr/>
          </xdr:nvSpPr>
          <xdr:spPr>
            <a:xfrm>
              <a:off x="59088" y="1086824"/>
              <a:ext cx="1088059" cy="940074"/>
            </a:xfrm>
            <a:prstGeom prst="triangle">
              <a:avLst/>
            </a:prstGeom>
            <a:gradFill rotWithShape="0">
              <a:gsLst>
                <a:gs pos="0">
                  <a:srgbClr val="40B93C">
                    <a:alpha val="90000"/>
                    <a:hueOff val="0"/>
                    <a:satOff val="0"/>
                    <a:lumOff val="0"/>
                    <a:alphaOff val="0"/>
                    <a:lumMod val="110000"/>
                    <a:satMod val="105000"/>
                    <a:tint val="67000"/>
                  </a:srgbClr>
                </a:gs>
                <a:gs pos="50000">
                  <a:srgbClr val="40B93C">
                    <a:alpha val="90000"/>
                    <a:hueOff val="0"/>
                    <a:satOff val="0"/>
                    <a:lumOff val="0"/>
                    <a:alphaOff val="0"/>
                    <a:lumMod val="105000"/>
                    <a:satMod val="103000"/>
                    <a:tint val="73000"/>
                  </a:srgbClr>
                </a:gs>
                <a:gs pos="100000">
                  <a:srgbClr val="40B93C">
                    <a:alpha val="90000"/>
                    <a:hueOff val="0"/>
                    <a:satOff val="0"/>
                    <a:lumOff val="0"/>
                    <a:alphaOff val="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rgbClr r="0" g="0" b="0"/>
            </a:fillRef>
            <a:effectRef idx="1">
              <a:schemeClr val="accent1">
                <a:alpha val="90000"/>
                <a:hueOff val="0"/>
                <a:satOff val="0"/>
                <a:lumOff val="0"/>
                <a:alphaOff val="-13333"/>
              </a:schemeClr>
            </a:effectRef>
            <a:fontRef idx="minor">
              <a:schemeClr val="dk1"/>
            </a:fontRef>
          </xdr:style>
        </xdr:sp>
        <xdr:sp macro="" textlink="">
          <xdr:nvSpPr>
            <xdr:cNvPr id="53" name="Isosceles Triangle 4">
              <a:extLst>
                <a:ext uri="{FF2B5EF4-FFF2-40B4-BE49-F238E27FC236}">
                  <a16:creationId xmlns:a16="http://schemas.microsoft.com/office/drawing/2014/main" id="{00000000-0008-0000-0100-000035000000}"/>
                </a:ext>
              </a:extLst>
            </xdr:cNvPr>
            <xdr:cNvSpPr txBox="1"/>
          </xdr:nvSpPr>
          <xdr:spPr>
            <a:xfrm>
              <a:off x="169911" y="1608555"/>
              <a:ext cx="892645" cy="470040"/>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t>Umweltverträglichkeit</a:t>
              </a:r>
              <a:endParaRPr lang="en-GB" sz="500" b="1" kern="1200"/>
            </a:p>
          </xdr:txBody>
        </xdr:sp>
      </xdr:grpSp>
      <xdr:grpSp>
        <xdr:nvGrpSpPr>
          <xdr:cNvPr id="60" name="Zielsetzung_Versorgungssicherheit">
            <a:extLst>
              <a:ext uri="{FF2B5EF4-FFF2-40B4-BE49-F238E27FC236}">
                <a16:creationId xmlns:a16="http://schemas.microsoft.com/office/drawing/2014/main" id="{00000000-0008-0000-0100-00003C000000}"/>
              </a:ext>
            </a:extLst>
          </xdr:cNvPr>
          <xdr:cNvGrpSpPr/>
        </xdr:nvGrpSpPr>
        <xdr:grpSpPr>
          <a:xfrm>
            <a:off x="5460978" y="9465366"/>
            <a:ext cx="1088059" cy="983337"/>
            <a:chOff x="1145019" y="1086824"/>
            <a:chExt cx="1088059" cy="991802"/>
          </a:xfrm>
          <a:scene3d>
            <a:camera prst="orthographicFront"/>
            <a:lightRig rig="flat" dir="t"/>
          </a:scene3d>
        </xdr:grpSpPr>
        <xdr:sp macro="" textlink="">
          <xdr:nvSpPr>
            <xdr:cNvPr id="61" name="Isosceles Triangle 60">
              <a:extLst>
                <a:ext uri="{FF2B5EF4-FFF2-40B4-BE49-F238E27FC236}">
                  <a16:creationId xmlns:a16="http://schemas.microsoft.com/office/drawing/2014/main" id="{00000000-0008-0000-0100-00003D000000}"/>
                </a:ext>
              </a:extLst>
            </xdr:cNvPr>
            <xdr:cNvSpPr/>
          </xdr:nvSpPr>
          <xdr:spPr>
            <a:xfrm>
              <a:off x="1145019" y="1086824"/>
              <a:ext cx="1088059" cy="940074"/>
            </a:xfrm>
            <a:prstGeom prst="triangle">
              <a:avLst/>
            </a:prstGeom>
            <a:gradFill rotWithShape="1">
              <a:gsLst>
                <a:gs pos="0">
                  <a:srgbClr val="40B93C">
                    <a:alpha val="90000"/>
                    <a:hueOff val="0"/>
                    <a:satOff val="0"/>
                    <a:lumOff val="0"/>
                    <a:alphaOff val="-40000"/>
                    <a:lumMod val="110000"/>
                    <a:satMod val="105000"/>
                    <a:tint val="67000"/>
                  </a:srgbClr>
                </a:gs>
                <a:gs pos="50000">
                  <a:srgbClr val="40B93C">
                    <a:alpha val="90000"/>
                    <a:hueOff val="0"/>
                    <a:satOff val="0"/>
                    <a:lumOff val="0"/>
                    <a:alphaOff val="-40000"/>
                    <a:lumMod val="105000"/>
                    <a:satMod val="103000"/>
                    <a:tint val="73000"/>
                  </a:srgbClr>
                </a:gs>
                <a:gs pos="100000">
                  <a:srgbClr val="40B93C">
                    <a:alpha val="90000"/>
                    <a:hueOff val="0"/>
                    <a:satOff val="0"/>
                    <a:lumOff val="0"/>
                    <a:alphaOff val="-4000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hemeClr val="accent1">
                <a:alpha val="90000"/>
                <a:hueOff val="0"/>
                <a:satOff val="0"/>
                <a:lumOff val="0"/>
                <a:alphaOff val="-40000"/>
              </a:schemeClr>
            </a:fillRef>
            <a:effectRef idx="1">
              <a:schemeClr val="accent1">
                <a:alpha val="90000"/>
                <a:hueOff val="0"/>
                <a:satOff val="0"/>
                <a:lumOff val="0"/>
                <a:alphaOff val="-40000"/>
              </a:schemeClr>
            </a:effectRef>
            <a:fontRef idx="minor">
              <a:schemeClr val="dk1"/>
            </a:fontRef>
          </xdr:style>
        </xdr:sp>
        <xdr:sp macro="" textlink="">
          <xdr:nvSpPr>
            <xdr:cNvPr id="62" name="Isosceles Triangle 4">
              <a:extLst>
                <a:ext uri="{FF2B5EF4-FFF2-40B4-BE49-F238E27FC236}">
                  <a16:creationId xmlns:a16="http://schemas.microsoft.com/office/drawing/2014/main" id="{00000000-0008-0000-0100-00003E000000}"/>
                </a:ext>
              </a:extLst>
            </xdr:cNvPr>
            <xdr:cNvSpPr txBox="1"/>
          </xdr:nvSpPr>
          <xdr:spPr>
            <a:xfrm>
              <a:off x="1197224" y="1608571"/>
              <a:ext cx="994587" cy="470055"/>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t>Versorgungssicherheit</a:t>
              </a:r>
            </a:p>
          </xdr:txBody>
        </xdr:sp>
      </xdr:grpSp>
      <xdr:grpSp>
        <xdr:nvGrpSpPr>
          <xdr:cNvPr id="63" name="Zielsetzung_Wirtschaftlichkeit">
            <a:extLst>
              <a:ext uri="{FF2B5EF4-FFF2-40B4-BE49-F238E27FC236}">
                <a16:creationId xmlns:a16="http://schemas.microsoft.com/office/drawing/2014/main" id="{00000000-0008-0000-0100-00003F000000}"/>
              </a:ext>
            </a:extLst>
          </xdr:cNvPr>
          <xdr:cNvGrpSpPr/>
        </xdr:nvGrpSpPr>
        <xdr:grpSpPr>
          <a:xfrm>
            <a:off x="4918657" y="8535171"/>
            <a:ext cx="1088059" cy="986256"/>
            <a:chOff x="602484" y="154171"/>
            <a:chExt cx="1088059" cy="998664"/>
          </a:xfrm>
          <a:scene3d>
            <a:camera prst="orthographicFront"/>
            <a:lightRig rig="flat" dir="t"/>
          </a:scene3d>
        </xdr:grpSpPr>
        <xdr:sp macro="" textlink="">
          <xdr:nvSpPr>
            <xdr:cNvPr id="2048" name="Isosceles Triangle 2047">
              <a:extLst>
                <a:ext uri="{FF2B5EF4-FFF2-40B4-BE49-F238E27FC236}">
                  <a16:creationId xmlns:a16="http://schemas.microsoft.com/office/drawing/2014/main" id="{00000000-0008-0000-0100-000000080000}"/>
                </a:ext>
              </a:extLst>
            </xdr:cNvPr>
            <xdr:cNvSpPr/>
          </xdr:nvSpPr>
          <xdr:spPr>
            <a:xfrm>
              <a:off x="602484" y="154171"/>
              <a:ext cx="1088059" cy="940074"/>
            </a:xfrm>
            <a:prstGeom prst="triangle">
              <a:avLst/>
            </a:prstGeom>
            <a:gradFill rotWithShape="1">
              <a:gsLst>
                <a:gs pos="0">
                  <a:srgbClr val="40B93C">
                    <a:alpha val="90000"/>
                    <a:hueOff val="0"/>
                    <a:satOff val="0"/>
                    <a:lumOff val="0"/>
                    <a:alphaOff val="0"/>
                    <a:lumMod val="110000"/>
                    <a:satMod val="105000"/>
                    <a:tint val="67000"/>
                  </a:srgbClr>
                </a:gs>
                <a:gs pos="50000">
                  <a:srgbClr val="40B93C">
                    <a:alpha val="90000"/>
                    <a:hueOff val="0"/>
                    <a:satOff val="0"/>
                    <a:lumOff val="0"/>
                    <a:alphaOff val="0"/>
                    <a:lumMod val="105000"/>
                    <a:satMod val="103000"/>
                    <a:tint val="73000"/>
                  </a:srgbClr>
                </a:gs>
                <a:gs pos="100000">
                  <a:srgbClr val="40B93C">
                    <a:alpha val="90000"/>
                    <a:hueOff val="0"/>
                    <a:satOff val="0"/>
                    <a:lumOff val="0"/>
                    <a:alphaOff val="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hemeClr val="accent1">
                <a:alpha val="90000"/>
                <a:hueOff val="0"/>
                <a:satOff val="0"/>
                <a:lumOff val="0"/>
                <a:alphaOff val="0"/>
              </a:schemeClr>
            </a:fillRef>
            <a:effectRef idx="1">
              <a:schemeClr val="accent1">
                <a:alpha val="90000"/>
                <a:hueOff val="0"/>
                <a:satOff val="0"/>
                <a:lumOff val="0"/>
                <a:alphaOff val="0"/>
              </a:schemeClr>
            </a:effectRef>
            <a:fontRef idx="minor">
              <a:schemeClr val="dk1"/>
            </a:fontRef>
          </xdr:style>
        </xdr:sp>
        <xdr:sp macro="" textlink="">
          <xdr:nvSpPr>
            <xdr:cNvPr id="2049" name="Isosceles Triangle 4">
              <a:extLst>
                <a:ext uri="{FF2B5EF4-FFF2-40B4-BE49-F238E27FC236}">
                  <a16:creationId xmlns:a16="http://schemas.microsoft.com/office/drawing/2014/main" id="{00000000-0008-0000-0100-000001080000}"/>
                </a:ext>
              </a:extLst>
            </xdr:cNvPr>
            <xdr:cNvSpPr txBox="1"/>
          </xdr:nvSpPr>
          <xdr:spPr>
            <a:xfrm>
              <a:off x="793902" y="682797"/>
              <a:ext cx="701639" cy="470038"/>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effectLst/>
                </a:rPr>
                <a:t>Wirtschaftlichkeit</a:t>
              </a:r>
              <a:endParaRPr lang="en-GB" sz="500" b="1" kern="1200">
                <a:effectLst/>
              </a:endParaRPr>
            </a:p>
          </xdr:txBody>
        </xdr:sp>
      </xdr:grpSp>
      <xdr:pic>
        <xdr:nvPicPr>
          <xdr:cNvPr id="36" name="Zielsetzung_Piktogramme">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0"/>
          <a:stretch>
            <a:fillRect/>
          </a:stretch>
        </xdr:blipFill>
        <xdr:spPr>
          <a:xfrm>
            <a:off x="4757957" y="8839039"/>
            <a:ext cx="1438781" cy="1305236"/>
          </a:xfrm>
          <a:prstGeom prst="rect">
            <a:avLst/>
          </a:prstGeom>
        </xdr:spPr>
      </xdr:pic>
      <mc:AlternateContent xmlns:mc="http://schemas.openxmlformats.org/markup-compatibility/2006" xmlns:a14="http://schemas.microsoft.com/office/drawing/2010/main">
        <mc:Choice Requires="a14">
          <xdr:pic>
            <xdr:nvPicPr>
              <xdr:cNvPr id="2059" name="Zielsetzung_Summe_Zahl">
                <a:extLst>
                  <a:ext uri="{FF2B5EF4-FFF2-40B4-BE49-F238E27FC236}">
                    <a16:creationId xmlns:a16="http://schemas.microsoft.com/office/drawing/2014/main" id="{00000000-0008-0000-0100-00000B080000}"/>
                  </a:ext>
                </a:extLst>
              </xdr:cNvPr>
              <xdr:cNvPicPr>
                <a:picLocks noChangeAspect="1" noChangeArrowheads="1"/>
                <a:extLst>
                  <a:ext uri="{84589F7E-364E-4C9E-8A38-B11213B215E9}">
                    <a14:cameraTool cellRange="helper_UNTERNEHMUNG!$B$4" spid="_x0000_s104434"/>
                  </a:ext>
                </a:extLst>
              </xdr:cNvPicPr>
            </xdr:nvPicPr>
            <xdr:blipFill rotWithShape="1">
              <a:blip xmlns:r="http://schemas.openxmlformats.org/officeDocument/2006/relationships" r:embed="rId11"/>
              <a:srcRect l="45199" t="9836" r="45199" b="9836"/>
              <a:stretch>
                <a:fillRect/>
              </a:stretch>
            </xdr:blipFill>
            <xdr:spPr bwMode="auto">
              <a:xfrm>
                <a:off x="4417787" y="9505950"/>
                <a:ext cx="2068738" cy="58102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61" name="Zielsetzung_Umweltverträglichkeit_Zahl">
                <a:extLst>
                  <a:ext uri="{FF2B5EF4-FFF2-40B4-BE49-F238E27FC236}">
                    <a16:creationId xmlns:a16="http://schemas.microsoft.com/office/drawing/2014/main" id="{00000000-0008-0000-0100-00000D080000}"/>
                  </a:ext>
                </a:extLst>
              </xdr:cNvPr>
              <xdr:cNvPicPr>
                <a:picLocks noChangeAspect="1" noChangeArrowheads="1"/>
                <a:extLst>
                  <a:ext uri="{84589F7E-364E-4C9E-8A38-B11213B215E9}">
                    <a14:cameraTool cellRange="$H$64" spid="_x0000_s104435"/>
                  </a:ext>
                </a:extLst>
              </xdr:cNvPicPr>
            </xdr:nvPicPr>
            <xdr:blipFill rotWithShape="1">
              <a:blip xmlns:r="http://schemas.openxmlformats.org/officeDocument/2006/relationships" r:embed="rId12"/>
              <a:srcRect l="5344" t="5344" r="5344" b="5344"/>
              <a:stretch>
                <a:fillRect/>
              </a:stretch>
            </xdr:blipFill>
            <xdr:spPr bwMode="auto">
              <a:xfrm>
                <a:off x="4349238" y="9620249"/>
                <a:ext cx="1116000" cy="706042"/>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62" name="Zielsetzung_Versorgungssicherheit_Zahl">
                <a:extLst>
                  <a:ext uri="{FF2B5EF4-FFF2-40B4-BE49-F238E27FC236}">
                    <a16:creationId xmlns:a16="http://schemas.microsoft.com/office/drawing/2014/main" id="{00000000-0008-0000-0100-00000E080000}"/>
                  </a:ext>
                </a:extLst>
              </xdr:cNvPr>
              <xdr:cNvPicPr>
                <a:picLocks noChangeAspect="1" noChangeArrowheads="1"/>
                <a:extLst>
                  <a:ext uri="{84589F7E-364E-4C9E-8A38-B11213B215E9}">
                    <a14:cameraTool cellRange="$H$66" spid="_x0000_s104436"/>
                  </a:ext>
                </a:extLst>
              </xdr:cNvPicPr>
            </xdr:nvPicPr>
            <xdr:blipFill rotWithShape="1">
              <a:blip xmlns:r="http://schemas.openxmlformats.org/officeDocument/2006/relationships" r:embed="rId13"/>
              <a:srcRect l="5102" t="5102" r="5102" b="5102"/>
              <a:stretch>
                <a:fillRect/>
              </a:stretch>
            </xdr:blipFill>
            <xdr:spPr bwMode="auto">
              <a:xfrm>
                <a:off x="5454138" y="9614030"/>
                <a:ext cx="1116000" cy="70604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60" name="Zielsetzung_Wirtschaflichkeit_Zahl">
                <a:extLst>
                  <a:ext uri="{FF2B5EF4-FFF2-40B4-BE49-F238E27FC236}">
                    <a16:creationId xmlns:a16="http://schemas.microsoft.com/office/drawing/2014/main" id="{00000000-0008-0000-0100-00000C080000}"/>
                  </a:ext>
                </a:extLst>
              </xdr:cNvPr>
              <xdr:cNvPicPr>
                <a:picLocks noChangeAspect="1" noChangeArrowheads="1"/>
                <a:extLst>
                  <a:ext uri="{84589F7E-364E-4C9E-8A38-B11213B215E9}">
                    <a14:cameraTool cellRange="$H$62" spid="_x0000_s104437"/>
                  </a:ext>
                </a:extLst>
              </xdr:cNvPicPr>
            </xdr:nvPicPr>
            <xdr:blipFill rotWithShape="1">
              <a:blip xmlns:r="http://schemas.openxmlformats.org/officeDocument/2006/relationships" r:embed="rId14"/>
              <a:srcRect l="6111" t="6111" r="6111" b="6111"/>
              <a:stretch>
                <a:fillRect/>
              </a:stretch>
            </xdr:blipFill>
            <xdr:spPr bwMode="auto">
              <a:xfrm>
                <a:off x="4905374" y="8714402"/>
                <a:ext cx="1115653" cy="705822"/>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mc:AlternateContent xmlns:mc="http://schemas.openxmlformats.org/markup-compatibility/2006">
    <mc:Choice xmlns:a14="http://schemas.microsoft.com/office/drawing/2010/main" Requires="a14">
      <xdr:twoCellAnchor editAs="absolute">
        <xdr:from>
          <xdr:col>8</xdr:col>
          <xdr:colOff>246</xdr:colOff>
          <xdr:row>13</xdr:row>
          <xdr:rowOff>189538</xdr:rowOff>
        </xdr:from>
        <xdr:to>
          <xdr:col>13</xdr:col>
          <xdr:colOff>1308</xdr:colOff>
          <xdr:row>16</xdr:row>
          <xdr:rowOff>1438</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3219696" y="3018463"/>
              <a:ext cx="1486962" cy="573900"/>
              <a:chOff x="3220657" y="3012318"/>
              <a:chExt cx="1488281" cy="416719"/>
            </a:xfrm>
          </xdr:grpSpPr>
          <xdr:sp macro="" textlink="">
            <xdr:nvSpPr>
              <xdr:cNvPr id="2231" name="Group Box 183" hidden="1">
                <a:extLst>
                  <a:ext uri="{63B3BB69-23CF-44E3-9099-C40C66FF867C}">
                    <a14:compatExt spid="_x0000_s2231"/>
                  </a:ext>
                  <a:ext uri="{FF2B5EF4-FFF2-40B4-BE49-F238E27FC236}">
                    <a16:creationId xmlns:a16="http://schemas.microsoft.com/office/drawing/2014/main" id="{00000000-0008-0000-0100-0000B7080000}"/>
                  </a:ext>
                </a:extLst>
              </xdr:cNvPr>
              <xdr:cNvSpPr/>
            </xdr:nvSpPr>
            <xdr:spPr bwMode="auto">
              <a:xfrm>
                <a:off x="3220657" y="3012318"/>
                <a:ext cx="1488281" cy="416719"/>
              </a:xfrm>
              <a:prstGeom prst="rect">
                <a:avLst/>
              </a:prstGeom>
              <a:noFill/>
              <a:ln w="9525">
                <a:miter lim="800000"/>
                <a:headEnd/>
                <a:tailEnd/>
              </a:ln>
              <a:extLst>
                <a:ext uri="{909E8E84-426E-40DD-AFC4-6F175D3DCCD1}">
                  <a14:hiddenFill>
                    <a:noFill/>
                  </a14:hiddenFill>
                </a:ext>
              </a:extLst>
            </xdr:spPr>
          </xdr:sp>
          <xdr:sp macro="" textlink="">
            <xdr:nvSpPr>
              <xdr:cNvPr id="2218" name="Option Button 170" hidden="1">
                <a:extLst>
                  <a:ext uri="{63B3BB69-23CF-44E3-9099-C40C66FF867C}">
                    <a14:compatExt spid="_x0000_s2218"/>
                  </a:ext>
                  <a:ext uri="{FF2B5EF4-FFF2-40B4-BE49-F238E27FC236}">
                    <a16:creationId xmlns:a16="http://schemas.microsoft.com/office/drawing/2014/main" id="{00000000-0008-0000-0100-0000AA080000}"/>
                  </a:ext>
                </a:extLst>
              </xdr:cNvPr>
              <xdr:cNvSpPr/>
            </xdr:nvSpPr>
            <xdr:spPr bwMode="auto">
              <a:xfrm>
                <a:off x="3480305" y="3129894"/>
                <a:ext cx="310494"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20" name="Option Button 172" hidden="1">
                <a:extLst>
                  <a:ext uri="{63B3BB69-23CF-44E3-9099-C40C66FF867C}">
                    <a14:compatExt spid="_x0000_s2220"/>
                  </a:ext>
                  <a:ext uri="{FF2B5EF4-FFF2-40B4-BE49-F238E27FC236}">
                    <a16:creationId xmlns:a16="http://schemas.microsoft.com/office/drawing/2014/main" id="{00000000-0008-0000-0100-0000AC080000}"/>
                  </a:ext>
                </a:extLst>
              </xdr:cNvPr>
              <xdr:cNvSpPr/>
            </xdr:nvSpPr>
            <xdr:spPr bwMode="auto">
              <a:xfrm>
                <a:off x="4248412" y="312741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1002</xdr:colOff>
          <xdr:row>15</xdr:row>
          <xdr:rowOff>379256</xdr:rowOff>
        </xdr:from>
        <xdr:to>
          <xdr:col>13</xdr:col>
          <xdr:colOff>0</xdr:colOff>
          <xdr:row>17</xdr:row>
          <xdr:rowOff>380156</xdr:rowOff>
        </xdr:to>
        <xdr:grpSp>
          <xdr:nvGrpSpPr>
            <xdr:cNvPr id="5" name="Ausbau_Check">
              <a:extLst>
                <a:ext uri="{FF2B5EF4-FFF2-40B4-BE49-F238E27FC236}">
                  <a16:creationId xmlns:a16="http://schemas.microsoft.com/office/drawing/2014/main" id="{00000000-0008-0000-0100-000005000000}"/>
                </a:ext>
              </a:extLst>
            </xdr:cNvPr>
            <xdr:cNvGrpSpPr/>
          </xdr:nvGrpSpPr>
          <xdr:grpSpPr>
            <a:xfrm>
              <a:off x="3220452" y="3589181"/>
              <a:ext cx="1484898" cy="572400"/>
              <a:chOff x="3219492" y="3444253"/>
              <a:chExt cx="1485901" cy="419102"/>
            </a:xfrm>
          </xdr:grpSpPr>
          <xdr:sp macro="" textlink="">
            <xdr:nvSpPr>
              <xdr:cNvPr id="2232" name="Group Box 184" hidden="1">
                <a:extLst>
                  <a:ext uri="{63B3BB69-23CF-44E3-9099-C40C66FF867C}">
                    <a14:compatExt spid="_x0000_s2232"/>
                  </a:ext>
                  <a:ext uri="{FF2B5EF4-FFF2-40B4-BE49-F238E27FC236}">
                    <a16:creationId xmlns:a16="http://schemas.microsoft.com/office/drawing/2014/main" id="{00000000-0008-0000-0100-0000B8080000}"/>
                  </a:ext>
                </a:extLst>
              </xdr:cNvPr>
              <xdr:cNvSpPr/>
            </xdr:nvSpPr>
            <xdr:spPr bwMode="auto">
              <a:xfrm>
                <a:off x="3219492" y="3444253"/>
                <a:ext cx="1485901" cy="419102"/>
              </a:xfrm>
              <a:prstGeom prst="rect">
                <a:avLst/>
              </a:prstGeom>
              <a:noFill/>
              <a:ln w="9525">
                <a:miter lim="800000"/>
                <a:headEnd/>
                <a:tailEnd/>
              </a:ln>
              <a:extLst>
                <a:ext uri="{909E8E84-426E-40DD-AFC4-6F175D3DCCD1}">
                  <a14:hiddenFill>
                    <a:noFill/>
                  </a14:hiddenFill>
                </a:ext>
              </a:extLst>
            </xdr:spPr>
          </xdr:sp>
          <xdr:sp macro="" textlink="">
            <xdr:nvSpPr>
              <xdr:cNvPr id="2233" name="Option Button 185" hidden="1">
                <a:extLst>
                  <a:ext uri="{63B3BB69-23CF-44E3-9099-C40C66FF867C}">
                    <a14:compatExt spid="_x0000_s2233"/>
                  </a:ext>
                  <a:ext uri="{FF2B5EF4-FFF2-40B4-BE49-F238E27FC236}">
                    <a16:creationId xmlns:a16="http://schemas.microsoft.com/office/drawing/2014/main" id="{00000000-0008-0000-0100-0000B9080000}"/>
                  </a:ext>
                </a:extLst>
              </xdr:cNvPr>
              <xdr:cNvSpPr/>
            </xdr:nvSpPr>
            <xdr:spPr bwMode="auto">
              <a:xfrm>
                <a:off x="3476625" y="3544252"/>
                <a:ext cx="311944" cy="21669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35" name="Option Button 187" hidden="1">
                <a:extLst>
                  <a:ext uri="{63B3BB69-23CF-44E3-9099-C40C66FF867C}">
                    <a14:compatExt spid="_x0000_s2235"/>
                  </a:ext>
                  <a:ext uri="{FF2B5EF4-FFF2-40B4-BE49-F238E27FC236}">
                    <a16:creationId xmlns:a16="http://schemas.microsoft.com/office/drawing/2014/main" id="{00000000-0008-0000-0100-0000BB080000}"/>
                  </a:ext>
                </a:extLst>
              </xdr:cNvPr>
              <xdr:cNvSpPr/>
            </xdr:nvSpPr>
            <xdr:spPr bwMode="auto">
              <a:xfrm>
                <a:off x="4241006" y="3546634"/>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1002</xdr:colOff>
          <xdr:row>18</xdr:row>
          <xdr:rowOff>0</xdr:rowOff>
        </xdr:from>
        <xdr:to>
          <xdr:col>13</xdr:col>
          <xdr:colOff>0</xdr:colOff>
          <xdr:row>19</xdr:row>
          <xdr:rowOff>1464</xdr:rowOff>
        </xdr:to>
        <xdr:grpSp>
          <xdr:nvGrpSpPr>
            <xdr:cNvPr id="6" name="Absatz_Check">
              <a:extLst>
                <a:ext uri="{FF2B5EF4-FFF2-40B4-BE49-F238E27FC236}">
                  <a16:creationId xmlns:a16="http://schemas.microsoft.com/office/drawing/2014/main" id="{00000000-0008-0000-0100-000006000000}"/>
                </a:ext>
              </a:extLst>
            </xdr:cNvPr>
            <xdr:cNvGrpSpPr/>
          </xdr:nvGrpSpPr>
          <xdr:grpSpPr>
            <a:xfrm>
              <a:off x="3220452" y="4162425"/>
              <a:ext cx="1484898" cy="420564"/>
              <a:chOff x="3220450" y="3863371"/>
              <a:chExt cx="1484898" cy="419099"/>
            </a:xfrm>
          </xdr:grpSpPr>
          <xdr:sp macro="" textlink="">
            <xdr:nvSpPr>
              <xdr:cNvPr id="2236" name="Group Box 188" hidden="1">
                <a:extLst>
                  <a:ext uri="{63B3BB69-23CF-44E3-9099-C40C66FF867C}">
                    <a14:compatExt spid="_x0000_s2236"/>
                  </a:ext>
                  <a:ext uri="{FF2B5EF4-FFF2-40B4-BE49-F238E27FC236}">
                    <a16:creationId xmlns:a16="http://schemas.microsoft.com/office/drawing/2014/main" id="{00000000-0008-0000-0100-0000BC080000}"/>
                  </a:ext>
                </a:extLst>
              </xdr:cNvPr>
              <xdr:cNvSpPr/>
            </xdr:nvSpPr>
            <xdr:spPr bwMode="auto">
              <a:xfrm>
                <a:off x="3220450" y="3863371"/>
                <a:ext cx="1484898" cy="419099"/>
              </a:xfrm>
              <a:prstGeom prst="rect">
                <a:avLst/>
              </a:prstGeom>
              <a:noFill/>
              <a:ln w="9525">
                <a:miter lim="800000"/>
                <a:headEnd/>
                <a:tailEnd/>
              </a:ln>
              <a:extLst>
                <a:ext uri="{909E8E84-426E-40DD-AFC4-6F175D3DCCD1}">
                  <a14:hiddenFill>
                    <a:noFill/>
                  </a14:hiddenFill>
                </a:ext>
              </a:extLst>
            </xdr:spPr>
          </xdr:sp>
          <xdr:sp macro="" textlink="">
            <xdr:nvSpPr>
              <xdr:cNvPr id="2237" name="Option Button 189" hidden="1">
                <a:extLst>
                  <a:ext uri="{63B3BB69-23CF-44E3-9099-C40C66FF867C}">
                    <a14:compatExt spid="_x0000_s2237"/>
                  </a:ext>
                  <a:ext uri="{FF2B5EF4-FFF2-40B4-BE49-F238E27FC236}">
                    <a16:creationId xmlns:a16="http://schemas.microsoft.com/office/drawing/2014/main" id="{00000000-0008-0000-0100-0000BD080000}"/>
                  </a:ext>
                </a:extLst>
              </xdr:cNvPr>
              <xdr:cNvSpPr/>
            </xdr:nvSpPr>
            <xdr:spPr bwMode="auto">
              <a:xfrm>
                <a:off x="3473615" y="3966611"/>
                <a:ext cx="30680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38" name="Option Button 190" hidden="1">
                <a:extLst>
                  <a:ext uri="{63B3BB69-23CF-44E3-9099-C40C66FF867C}">
                    <a14:compatExt spid="_x0000_s2238"/>
                  </a:ext>
                  <a:ext uri="{FF2B5EF4-FFF2-40B4-BE49-F238E27FC236}">
                    <a16:creationId xmlns:a16="http://schemas.microsoft.com/office/drawing/2014/main" id="{00000000-0008-0000-0100-0000BE080000}"/>
                  </a:ext>
                </a:extLst>
              </xdr:cNvPr>
              <xdr:cNvSpPr/>
            </xdr:nvSpPr>
            <xdr:spPr bwMode="auto">
              <a:xfrm>
                <a:off x="4239627" y="3965107"/>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18</xdr:row>
          <xdr:rowOff>418170</xdr:rowOff>
        </xdr:from>
        <xdr:to>
          <xdr:col>13</xdr:col>
          <xdr:colOff>0</xdr:colOff>
          <xdr:row>20</xdr:row>
          <xdr:rowOff>0</xdr:rowOff>
        </xdr:to>
        <xdr:grpSp>
          <xdr:nvGrpSpPr>
            <xdr:cNvPr id="7" name="Strommarkt_Check">
              <a:extLst>
                <a:ext uri="{FF2B5EF4-FFF2-40B4-BE49-F238E27FC236}">
                  <a16:creationId xmlns:a16="http://schemas.microsoft.com/office/drawing/2014/main" id="{00000000-0008-0000-0100-000007000000}"/>
                </a:ext>
              </a:extLst>
            </xdr:cNvPr>
            <xdr:cNvGrpSpPr/>
          </xdr:nvGrpSpPr>
          <xdr:grpSpPr>
            <a:xfrm>
              <a:off x="3219450" y="4580595"/>
              <a:ext cx="1485900" cy="420030"/>
              <a:chOff x="3219450" y="4282413"/>
              <a:chExt cx="1485900" cy="419103"/>
            </a:xfrm>
          </xdr:grpSpPr>
          <xdr:sp macro="" textlink="">
            <xdr:nvSpPr>
              <xdr:cNvPr id="2239" name="Group Box 191" hidden="1">
                <a:extLst>
                  <a:ext uri="{63B3BB69-23CF-44E3-9099-C40C66FF867C}">
                    <a14:compatExt spid="_x0000_s2239"/>
                  </a:ext>
                  <a:ext uri="{FF2B5EF4-FFF2-40B4-BE49-F238E27FC236}">
                    <a16:creationId xmlns:a16="http://schemas.microsoft.com/office/drawing/2014/main" id="{00000000-0008-0000-0100-0000BF080000}"/>
                  </a:ext>
                </a:extLst>
              </xdr:cNvPr>
              <xdr:cNvSpPr/>
            </xdr:nvSpPr>
            <xdr:spPr bwMode="auto">
              <a:xfrm>
                <a:off x="3219450" y="4282413"/>
                <a:ext cx="1485900" cy="419103"/>
              </a:xfrm>
              <a:prstGeom prst="rect">
                <a:avLst/>
              </a:prstGeom>
              <a:noFill/>
              <a:ln w="9525">
                <a:miter lim="800000"/>
                <a:headEnd/>
                <a:tailEnd/>
              </a:ln>
              <a:extLst>
                <a:ext uri="{909E8E84-426E-40DD-AFC4-6F175D3DCCD1}">
                  <a14:hiddenFill>
                    <a:noFill/>
                  </a14:hiddenFill>
                </a:ext>
              </a:extLst>
            </xdr:spPr>
          </xdr:sp>
          <xdr:sp macro="" textlink="">
            <xdr:nvSpPr>
              <xdr:cNvPr id="2240" name="Option Button 192" hidden="1">
                <a:extLst>
                  <a:ext uri="{63B3BB69-23CF-44E3-9099-C40C66FF867C}">
                    <a14:compatExt spid="_x0000_s2240"/>
                  </a:ext>
                  <a:ext uri="{FF2B5EF4-FFF2-40B4-BE49-F238E27FC236}">
                    <a16:creationId xmlns:a16="http://schemas.microsoft.com/office/drawing/2014/main" id="{00000000-0008-0000-0100-0000C0080000}"/>
                  </a:ext>
                </a:extLst>
              </xdr:cNvPr>
              <xdr:cNvSpPr/>
            </xdr:nvSpPr>
            <xdr:spPr bwMode="auto">
              <a:xfrm>
                <a:off x="3476625" y="439293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241" name="Option Button 193" hidden="1">
                <a:extLst>
                  <a:ext uri="{63B3BB69-23CF-44E3-9099-C40C66FF867C}">
                    <a14:compatExt spid="_x0000_s2241"/>
                  </a:ext>
                  <a:ext uri="{FF2B5EF4-FFF2-40B4-BE49-F238E27FC236}">
                    <a16:creationId xmlns:a16="http://schemas.microsoft.com/office/drawing/2014/main" id="{00000000-0008-0000-0100-0000C1080000}"/>
                  </a:ext>
                </a:extLst>
              </xdr:cNvPr>
              <xdr:cNvSpPr/>
            </xdr:nvSpPr>
            <xdr:spPr bwMode="auto">
              <a:xfrm>
                <a:off x="4238625" y="4391025"/>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0</xdr:col>
      <xdr:colOff>333374</xdr:colOff>
      <xdr:row>41</xdr:row>
      <xdr:rowOff>0</xdr:rowOff>
    </xdr:from>
    <xdr:to>
      <xdr:col>20</xdr:col>
      <xdr:colOff>9524</xdr:colOff>
      <xdr:row>41</xdr:row>
      <xdr:rowOff>2484000</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28013</xdr:colOff>
      <xdr:row>0</xdr:row>
      <xdr:rowOff>6038</xdr:rowOff>
    </xdr:from>
    <xdr:to>
      <xdr:col>0</xdr:col>
      <xdr:colOff>1180311</xdr:colOff>
      <xdr:row>0</xdr:row>
      <xdr:rowOff>955491</xdr:rowOff>
    </xdr:to>
    <xdr:sp macro="" textlink="">
      <xdr:nvSpPr>
        <xdr:cNvPr id="2" name="Gleichschenkliges Dreieck 13">
          <a:extLst>
            <a:ext uri="{FF2B5EF4-FFF2-40B4-BE49-F238E27FC236}">
              <a16:creationId xmlns:a16="http://schemas.microsoft.com/office/drawing/2014/main" id="{00000000-0008-0000-0300-000002000000}"/>
            </a:ext>
          </a:extLst>
        </xdr:cNvPr>
        <xdr:cNvSpPr/>
      </xdr:nvSpPr>
      <xdr:spPr>
        <a:xfrm rot="10800000">
          <a:off x="28013" y="6038"/>
          <a:ext cx="1152298" cy="949453"/>
        </a:xfrm>
        <a:prstGeom prst="triangle">
          <a:avLst/>
        </a:prstGeom>
        <a:solidFill>
          <a:srgbClr val="40B93C">
            <a:alpha val="30000"/>
          </a:srgbClr>
        </a:solidFill>
        <a:ln w="3175">
          <a:solidFill>
            <a:schemeClr val="tx1"/>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0</xdr:col>
      <xdr:colOff>28010</xdr:colOff>
      <xdr:row>1</xdr:row>
      <xdr:rowOff>6029</xdr:rowOff>
    </xdr:from>
    <xdr:to>
      <xdr:col>0</xdr:col>
      <xdr:colOff>1180308</xdr:colOff>
      <xdr:row>1</xdr:row>
      <xdr:rowOff>955482</xdr:rowOff>
    </xdr:to>
    <xdr:sp macro="" textlink="">
      <xdr:nvSpPr>
        <xdr:cNvPr id="3" name="Gleichschenkliges Dreieck 13">
          <a:extLst>
            <a:ext uri="{FF2B5EF4-FFF2-40B4-BE49-F238E27FC236}">
              <a16:creationId xmlns:a16="http://schemas.microsoft.com/office/drawing/2014/main" id="{00000000-0008-0000-0300-000003000000}"/>
            </a:ext>
          </a:extLst>
        </xdr:cNvPr>
        <xdr:cNvSpPr/>
      </xdr:nvSpPr>
      <xdr:spPr>
        <a:xfrm rot="10800000">
          <a:off x="28010" y="968054"/>
          <a:ext cx="1152298" cy="949453"/>
        </a:xfrm>
        <a:prstGeom prst="triangle">
          <a:avLst/>
        </a:prstGeom>
        <a:solidFill>
          <a:srgbClr val="FF0000">
            <a:alpha val="30000"/>
          </a:srgbClr>
        </a:solidFill>
        <a:ln w="3175">
          <a:solidFill>
            <a:schemeClr val="tx1"/>
          </a:solidFill>
        </a:ln>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444261</xdr:colOff>
      <xdr:row>1</xdr:row>
      <xdr:rowOff>121397</xdr:rowOff>
    </xdr:from>
    <xdr:to>
      <xdr:col>10</xdr:col>
      <xdr:colOff>10996</xdr:colOff>
      <xdr:row>11</xdr:row>
      <xdr:rowOff>20772</xdr:rowOff>
    </xdr:to>
    <xdr:grpSp>
      <xdr:nvGrpSpPr>
        <xdr:cNvPr id="12" name="Gruppieren 11">
          <a:extLst>
            <a:ext uri="{FF2B5EF4-FFF2-40B4-BE49-F238E27FC236}">
              <a16:creationId xmlns:a16="http://schemas.microsoft.com/office/drawing/2014/main" id="{00000000-0008-0000-0400-00000C000000}"/>
            </a:ext>
          </a:extLst>
        </xdr:cNvPr>
        <xdr:cNvGrpSpPr/>
      </xdr:nvGrpSpPr>
      <xdr:grpSpPr>
        <a:xfrm>
          <a:off x="3787536" y="311897"/>
          <a:ext cx="214435" cy="1451950"/>
          <a:chOff x="3788037" y="311897"/>
          <a:chExt cx="213433" cy="1458467"/>
        </a:xfrm>
      </xdr:grpSpPr>
      <xdr:pic>
        <xdr:nvPicPr>
          <xdr:cNvPr id="2" name="Graphic 4" descr="Employee badge outlin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788553" y="311897"/>
            <a:ext cx="212400" cy="222903"/>
          </a:xfrm>
          <a:prstGeom prst="rect">
            <a:avLst/>
          </a:prstGeom>
        </xdr:spPr>
      </xdr:pic>
      <xdr:pic>
        <xdr:nvPicPr>
          <xdr:cNvPr id="3" name="Graphic 1" descr="Email outlin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788553" y="654353"/>
            <a:ext cx="212400" cy="156432"/>
          </a:xfrm>
          <a:prstGeom prst="rect">
            <a:avLst/>
          </a:prstGeom>
        </xdr:spPr>
      </xdr:pic>
      <xdr:pic>
        <xdr:nvPicPr>
          <xdr:cNvPr id="4" name="Graphic 2" descr="Telephone outline">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788553" y="947488"/>
            <a:ext cx="212400" cy="184644"/>
          </a:xfrm>
          <a:prstGeom prst="rect">
            <a:avLst/>
          </a:prstGeom>
        </xdr:spPr>
      </xdr:pic>
      <xdr:pic>
        <xdr:nvPicPr>
          <xdr:cNvPr id="5" name="Graphic 3" descr="Briefcase outlin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88553" y="1263093"/>
            <a:ext cx="212400" cy="170669"/>
          </a:xfrm>
          <a:prstGeom prst="rect">
            <a:avLst/>
          </a:prstGeom>
        </xdr:spPr>
      </xdr:pic>
      <xdr:pic>
        <xdr:nvPicPr>
          <xdr:cNvPr id="34" name="Graphic 3" descr="Help">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788037" y="1556392"/>
            <a:ext cx="213433" cy="21397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12</xdr:col>
          <xdr:colOff>76200</xdr:colOff>
          <xdr:row>13</xdr:row>
          <xdr:rowOff>123825</xdr:rowOff>
        </xdr:from>
        <xdr:to>
          <xdr:col>13</xdr:col>
          <xdr:colOff>114300</xdr:colOff>
          <xdr:row>15</xdr:row>
          <xdr:rowOff>66675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14</xdr:row>
          <xdr:rowOff>219075</xdr:rowOff>
        </xdr:from>
        <xdr:to>
          <xdr:col>13</xdr:col>
          <xdr:colOff>114300</xdr:colOff>
          <xdr:row>16</xdr:row>
          <xdr:rowOff>66675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15</xdr:row>
          <xdr:rowOff>219075</xdr:rowOff>
        </xdr:from>
        <xdr:to>
          <xdr:col>13</xdr:col>
          <xdr:colOff>114300</xdr:colOff>
          <xdr:row>17</xdr:row>
          <xdr:rowOff>66675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16</xdr:row>
          <xdr:rowOff>219075</xdr:rowOff>
        </xdr:from>
        <xdr:to>
          <xdr:col>13</xdr:col>
          <xdr:colOff>114300</xdr:colOff>
          <xdr:row>18</xdr:row>
          <xdr:rowOff>66675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17</xdr:row>
          <xdr:rowOff>228600</xdr:rowOff>
        </xdr:from>
        <xdr:to>
          <xdr:col>13</xdr:col>
          <xdr:colOff>114300</xdr:colOff>
          <xdr:row>19</xdr:row>
          <xdr:rowOff>76200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5013</xdr:colOff>
      <xdr:row>21</xdr:row>
      <xdr:rowOff>145381</xdr:rowOff>
    </xdr:from>
    <xdr:to>
      <xdr:col>17</xdr:col>
      <xdr:colOff>0</xdr:colOff>
      <xdr:row>30</xdr:row>
      <xdr:rowOff>0</xdr:rowOff>
    </xdr:to>
    <xdr:graphicFrame macro="">
      <xdr:nvGraphicFramePr>
        <xdr:cNvPr id="36" name="Diagramm 35">
          <a:extLst>
            <a:ext uri="{FF2B5EF4-FFF2-40B4-BE49-F238E27FC236}">
              <a16:creationId xmlns:a16="http://schemas.microsoft.com/office/drawing/2014/main" id="{00000000-0008-0000-04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228600</xdr:colOff>
          <xdr:row>44</xdr:row>
          <xdr:rowOff>161925</xdr:rowOff>
        </xdr:from>
        <xdr:to>
          <xdr:col>13</xdr:col>
          <xdr:colOff>123825</xdr:colOff>
          <xdr:row>46</xdr:row>
          <xdr:rowOff>104775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44</xdr:row>
          <xdr:rowOff>180975</xdr:rowOff>
        </xdr:from>
        <xdr:to>
          <xdr:col>14</xdr:col>
          <xdr:colOff>457200</xdr:colOff>
          <xdr:row>46</xdr:row>
          <xdr:rowOff>104775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52</xdr:row>
          <xdr:rowOff>142875</xdr:rowOff>
        </xdr:from>
        <xdr:to>
          <xdr:col>14</xdr:col>
          <xdr:colOff>457200</xdr:colOff>
          <xdr:row>54</xdr:row>
          <xdr:rowOff>66675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52</xdr:row>
          <xdr:rowOff>142875</xdr:rowOff>
        </xdr:from>
        <xdr:to>
          <xdr:col>13</xdr:col>
          <xdr:colOff>123825</xdr:colOff>
          <xdr:row>54</xdr:row>
          <xdr:rowOff>66675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64</xdr:row>
          <xdr:rowOff>180975</xdr:rowOff>
        </xdr:from>
        <xdr:to>
          <xdr:col>13</xdr:col>
          <xdr:colOff>123825</xdr:colOff>
          <xdr:row>66</xdr:row>
          <xdr:rowOff>114300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400-000025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64</xdr:row>
          <xdr:rowOff>180975</xdr:rowOff>
        </xdr:from>
        <xdr:to>
          <xdr:col>14</xdr:col>
          <xdr:colOff>457200</xdr:colOff>
          <xdr:row>66</xdr:row>
          <xdr:rowOff>114300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59</xdr:row>
          <xdr:rowOff>180975</xdr:rowOff>
        </xdr:from>
        <xdr:to>
          <xdr:col>13</xdr:col>
          <xdr:colOff>123825</xdr:colOff>
          <xdr:row>61</xdr:row>
          <xdr:rowOff>114300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59</xdr:row>
          <xdr:rowOff>180975</xdr:rowOff>
        </xdr:from>
        <xdr:to>
          <xdr:col>14</xdr:col>
          <xdr:colOff>457200</xdr:colOff>
          <xdr:row>61</xdr:row>
          <xdr:rowOff>114300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13</xdr:row>
          <xdr:rowOff>190499</xdr:rowOff>
        </xdr:from>
        <xdr:to>
          <xdr:col>11</xdr:col>
          <xdr:colOff>598874</xdr:colOff>
          <xdr:row>15</xdr:row>
          <xdr:rowOff>464</xdr:rowOff>
        </xdr:to>
        <xdr:grpSp>
          <xdr:nvGrpSpPr>
            <xdr:cNvPr id="14" name="Gruppieren 13">
              <a:extLst>
                <a:ext uri="{FF2B5EF4-FFF2-40B4-BE49-F238E27FC236}">
                  <a16:creationId xmlns:a16="http://schemas.microsoft.com/office/drawing/2014/main" id="{00000000-0008-0000-0400-00000E000000}"/>
                </a:ext>
              </a:extLst>
            </xdr:cNvPr>
            <xdr:cNvGrpSpPr/>
          </xdr:nvGrpSpPr>
          <xdr:grpSpPr>
            <a:xfrm>
              <a:off x="3343275" y="2190749"/>
              <a:ext cx="1522799" cy="286215"/>
              <a:chOff x="3342740" y="2196183"/>
              <a:chExt cx="1407603" cy="288010"/>
            </a:xfrm>
          </xdr:grpSpPr>
          <xdr:sp macro="" textlink="">
            <xdr:nvSpPr>
              <xdr:cNvPr id="3142" name="Group Box 70" hidden="1">
                <a:extLst>
                  <a:ext uri="{63B3BB69-23CF-44E3-9099-C40C66FF867C}">
                    <a14:compatExt spid="_x0000_s3142"/>
                  </a:ext>
                  <a:ext uri="{FF2B5EF4-FFF2-40B4-BE49-F238E27FC236}">
                    <a16:creationId xmlns:a16="http://schemas.microsoft.com/office/drawing/2014/main" id="{00000000-0008-0000-0400-0000460C0000}"/>
                  </a:ext>
                </a:extLst>
              </xdr:cNvPr>
              <xdr:cNvSpPr/>
            </xdr:nvSpPr>
            <xdr:spPr bwMode="auto">
              <a:xfrm>
                <a:off x="3342740" y="2196183"/>
                <a:ext cx="1407603" cy="288010"/>
              </a:xfrm>
              <a:prstGeom prst="rect">
                <a:avLst/>
              </a:prstGeom>
              <a:noFill/>
              <a:ln w="9525">
                <a:miter lim="800000"/>
                <a:headEnd/>
                <a:tailEnd/>
              </a:ln>
              <a:extLst>
                <a:ext uri="{909E8E84-426E-40DD-AFC4-6F175D3DCCD1}">
                  <a14:hiddenFill>
                    <a:noFill/>
                  </a14:hiddenFill>
                </a:ext>
              </a:extLst>
            </xdr:spPr>
          </xdr:sp>
          <xdr:sp macro="" textlink="">
            <xdr:nvSpPr>
              <xdr:cNvPr id="3148" name="Option Button 76" hidden="1">
                <a:extLst>
                  <a:ext uri="{63B3BB69-23CF-44E3-9099-C40C66FF867C}">
                    <a14:compatExt spid="_x0000_s3148"/>
                  </a:ext>
                  <a:ext uri="{FF2B5EF4-FFF2-40B4-BE49-F238E27FC236}">
                    <a16:creationId xmlns:a16="http://schemas.microsoft.com/office/drawing/2014/main" id="{00000000-0008-0000-0400-00004C0C0000}"/>
                  </a:ext>
                </a:extLst>
              </xdr:cNvPr>
              <xdr:cNvSpPr/>
            </xdr:nvSpPr>
            <xdr:spPr bwMode="auto">
              <a:xfrm>
                <a:off x="3644530" y="2263947"/>
                <a:ext cx="325472" cy="15840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49" name="Option Button 77" hidden="1">
                <a:extLst>
                  <a:ext uri="{63B3BB69-23CF-44E3-9099-C40C66FF867C}">
                    <a14:compatExt spid="_x0000_s3149"/>
                  </a:ext>
                  <a:ext uri="{FF2B5EF4-FFF2-40B4-BE49-F238E27FC236}">
                    <a16:creationId xmlns:a16="http://schemas.microsoft.com/office/drawing/2014/main" id="{00000000-0008-0000-0400-00004D0C0000}"/>
                  </a:ext>
                </a:extLst>
              </xdr:cNvPr>
              <xdr:cNvSpPr/>
            </xdr:nvSpPr>
            <xdr:spPr bwMode="auto">
              <a:xfrm>
                <a:off x="4341328" y="2263947"/>
                <a:ext cx="326400" cy="15840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113826</xdr:colOff>
          <xdr:row>15</xdr:row>
          <xdr:rowOff>816</xdr:rowOff>
        </xdr:from>
        <xdr:to>
          <xdr:col>12</xdr:col>
          <xdr:colOff>1026</xdr:colOff>
          <xdr:row>16</xdr:row>
          <xdr:rowOff>1269</xdr:rowOff>
        </xdr:to>
        <xdr:grpSp>
          <xdr:nvGrpSpPr>
            <xdr:cNvPr id="11" name="Gruppieren 10">
              <a:extLst>
                <a:ext uri="{FF2B5EF4-FFF2-40B4-BE49-F238E27FC236}">
                  <a16:creationId xmlns:a16="http://schemas.microsoft.com/office/drawing/2014/main" id="{00000000-0008-0000-0400-00000B000000}"/>
                </a:ext>
              </a:extLst>
            </xdr:cNvPr>
            <xdr:cNvGrpSpPr/>
          </xdr:nvGrpSpPr>
          <xdr:grpSpPr>
            <a:xfrm>
              <a:off x="3342801" y="2477316"/>
              <a:ext cx="1525500" cy="286203"/>
              <a:chOff x="3341564" y="2484394"/>
              <a:chExt cx="1411198" cy="288002"/>
            </a:xfrm>
          </xdr:grpSpPr>
          <xdr:sp macro="" textlink="">
            <xdr:nvSpPr>
              <xdr:cNvPr id="3151" name="Group Box 79" hidden="1">
                <a:extLst>
                  <a:ext uri="{63B3BB69-23CF-44E3-9099-C40C66FF867C}">
                    <a14:compatExt spid="_x0000_s3151"/>
                  </a:ext>
                  <a:ext uri="{FF2B5EF4-FFF2-40B4-BE49-F238E27FC236}">
                    <a16:creationId xmlns:a16="http://schemas.microsoft.com/office/drawing/2014/main" id="{00000000-0008-0000-0400-00004F0C0000}"/>
                  </a:ext>
                </a:extLst>
              </xdr:cNvPr>
              <xdr:cNvSpPr/>
            </xdr:nvSpPr>
            <xdr:spPr bwMode="auto">
              <a:xfrm>
                <a:off x="3341564" y="2484394"/>
                <a:ext cx="1411198" cy="288002"/>
              </a:xfrm>
              <a:prstGeom prst="rect">
                <a:avLst/>
              </a:prstGeom>
              <a:noFill/>
              <a:ln w="9525">
                <a:miter lim="800000"/>
                <a:headEnd/>
                <a:tailEnd/>
              </a:ln>
              <a:extLst>
                <a:ext uri="{909E8E84-426E-40DD-AFC4-6F175D3DCCD1}">
                  <a14:hiddenFill>
                    <a:noFill/>
                  </a14:hiddenFill>
                </a:ext>
              </a:extLst>
            </xdr:spPr>
          </xdr:sp>
          <xdr:sp macro="" textlink="">
            <xdr:nvSpPr>
              <xdr:cNvPr id="3152" name="Option Button 80" hidden="1">
                <a:extLst>
                  <a:ext uri="{63B3BB69-23CF-44E3-9099-C40C66FF867C}">
                    <a14:compatExt spid="_x0000_s3152"/>
                  </a:ext>
                  <a:ext uri="{FF2B5EF4-FFF2-40B4-BE49-F238E27FC236}">
                    <a16:creationId xmlns:a16="http://schemas.microsoft.com/office/drawing/2014/main" id="{00000000-0008-0000-0400-0000500C0000}"/>
                  </a:ext>
                </a:extLst>
              </xdr:cNvPr>
              <xdr:cNvSpPr/>
            </xdr:nvSpPr>
            <xdr:spPr bwMode="auto">
              <a:xfrm>
                <a:off x="3644530" y="2536828"/>
                <a:ext cx="283899" cy="189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53" name="Option Button 81" hidden="1">
                <a:extLst>
                  <a:ext uri="{63B3BB69-23CF-44E3-9099-C40C66FF867C}">
                    <a14:compatExt spid="_x0000_s3153"/>
                  </a:ext>
                  <a:ext uri="{FF2B5EF4-FFF2-40B4-BE49-F238E27FC236}">
                    <a16:creationId xmlns:a16="http://schemas.microsoft.com/office/drawing/2014/main" id="{00000000-0008-0000-0400-0000510C0000}"/>
                  </a:ext>
                </a:extLst>
              </xdr:cNvPr>
              <xdr:cNvSpPr/>
            </xdr:nvSpPr>
            <xdr:spPr bwMode="auto">
              <a:xfrm>
                <a:off x="4341328" y="2536828"/>
                <a:ext cx="277447" cy="189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114692</xdr:colOff>
          <xdr:row>16</xdr:row>
          <xdr:rowOff>1633</xdr:rowOff>
        </xdr:from>
        <xdr:to>
          <xdr:col>11</xdr:col>
          <xdr:colOff>598547</xdr:colOff>
          <xdr:row>16</xdr:row>
          <xdr:rowOff>286033</xdr:rowOff>
        </xdr:to>
        <xdr:grpSp>
          <xdr:nvGrpSpPr>
            <xdr:cNvPr id="16" name="Gruppieren 15">
              <a:extLst>
                <a:ext uri="{FF2B5EF4-FFF2-40B4-BE49-F238E27FC236}">
                  <a16:creationId xmlns:a16="http://schemas.microsoft.com/office/drawing/2014/main" id="{00000000-0008-0000-0400-000010000000}"/>
                </a:ext>
              </a:extLst>
            </xdr:cNvPr>
            <xdr:cNvGrpSpPr/>
          </xdr:nvGrpSpPr>
          <xdr:grpSpPr>
            <a:xfrm>
              <a:off x="3343667" y="2763883"/>
              <a:ext cx="1522080" cy="284400"/>
              <a:chOff x="3342384" y="2772877"/>
              <a:chExt cx="1407600" cy="284400"/>
            </a:xfrm>
          </xdr:grpSpPr>
          <xdr:sp macro="" textlink="">
            <xdr:nvSpPr>
              <xdr:cNvPr id="3154" name="Group Box 82" hidden="1">
                <a:extLst>
                  <a:ext uri="{63B3BB69-23CF-44E3-9099-C40C66FF867C}">
                    <a14:compatExt spid="_x0000_s3154"/>
                  </a:ext>
                  <a:ext uri="{FF2B5EF4-FFF2-40B4-BE49-F238E27FC236}">
                    <a16:creationId xmlns:a16="http://schemas.microsoft.com/office/drawing/2014/main" id="{00000000-0008-0000-0400-0000520C0000}"/>
                  </a:ext>
                </a:extLst>
              </xdr:cNvPr>
              <xdr:cNvSpPr/>
            </xdr:nvSpPr>
            <xdr:spPr bwMode="auto">
              <a:xfrm>
                <a:off x="3342384" y="2772877"/>
                <a:ext cx="1407600" cy="284400"/>
              </a:xfrm>
              <a:prstGeom prst="rect">
                <a:avLst/>
              </a:prstGeom>
              <a:noFill/>
              <a:ln w="9525">
                <a:miter lim="800000"/>
                <a:headEnd/>
                <a:tailEnd/>
              </a:ln>
              <a:extLst>
                <a:ext uri="{909E8E84-426E-40DD-AFC4-6F175D3DCCD1}">
                  <a14:hiddenFill>
                    <a:noFill/>
                  </a14:hiddenFill>
                </a:ext>
              </a:extLst>
            </xdr:spPr>
          </xdr:sp>
          <xdr:sp macro="" textlink="">
            <xdr:nvSpPr>
              <xdr:cNvPr id="3155" name="Option Button 83" hidden="1">
                <a:extLst>
                  <a:ext uri="{63B3BB69-23CF-44E3-9099-C40C66FF867C}">
                    <a14:compatExt spid="_x0000_s3155"/>
                  </a:ext>
                  <a:ext uri="{FF2B5EF4-FFF2-40B4-BE49-F238E27FC236}">
                    <a16:creationId xmlns:a16="http://schemas.microsoft.com/office/drawing/2014/main" id="{00000000-0008-0000-0400-0000530C0000}"/>
                  </a:ext>
                </a:extLst>
              </xdr:cNvPr>
              <xdr:cNvSpPr/>
            </xdr:nvSpPr>
            <xdr:spPr bwMode="auto">
              <a:xfrm>
                <a:off x="3644530" y="2841053"/>
                <a:ext cx="293215" cy="1868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56" name="Option Button 84" hidden="1">
                <a:extLst>
                  <a:ext uri="{63B3BB69-23CF-44E3-9099-C40C66FF867C}">
                    <a14:compatExt spid="_x0000_s3156"/>
                  </a:ext>
                  <a:ext uri="{FF2B5EF4-FFF2-40B4-BE49-F238E27FC236}">
                    <a16:creationId xmlns:a16="http://schemas.microsoft.com/office/drawing/2014/main" id="{00000000-0008-0000-0400-0000540C0000}"/>
                  </a:ext>
                </a:extLst>
              </xdr:cNvPr>
              <xdr:cNvSpPr/>
            </xdr:nvSpPr>
            <xdr:spPr bwMode="auto">
              <a:xfrm>
                <a:off x="4341328" y="2841053"/>
                <a:ext cx="294051" cy="1868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113222</xdr:colOff>
          <xdr:row>17</xdr:row>
          <xdr:rowOff>899</xdr:rowOff>
        </xdr:from>
        <xdr:to>
          <xdr:col>12</xdr:col>
          <xdr:colOff>422</xdr:colOff>
          <xdr:row>18</xdr:row>
          <xdr:rowOff>1352</xdr:rowOff>
        </xdr:to>
        <xdr:grpSp>
          <xdr:nvGrpSpPr>
            <xdr:cNvPr id="17" name="Gruppieren 16">
              <a:extLst>
                <a:ext uri="{FF2B5EF4-FFF2-40B4-BE49-F238E27FC236}">
                  <a16:creationId xmlns:a16="http://schemas.microsoft.com/office/drawing/2014/main" id="{00000000-0008-0000-0400-000011000000}"/>
                </a:ext>
              </a:extLst>
            </xdr:cNvPr>
            <xdr:cNvGrpSpPr/>
          </xdr:nvGrpSpPr>
          <xdr:grpSpPr>
            <a:xfrm>
              <a:off x="3342197" y="3048899"/>
              <a:ext cx="1525500" cy="286203"/>
              <a:chOff x="3340960" y="3059756"/>
              <a:chExt cx="1411199" cy="288001"/>
            </a:xfrm>
          </xdr:grpSpPr>
          <xdr:sp macro="" textlink="">
            <xdr:nvSpPr>
              <xdr:cNvPr id="3157" name="Group Box 85" hidden="1">
                <a:extLst>
                  <a:ext uri="{63B3BB69-23CF-44E3-9099-C40C66FF867C}">
                    <a14:compatExt spid="_x0000_s3157"/>
                  </a:ext>
                  <a:ext uri="{FF2B5EF4-FFF2-40B4-BE49-F238E27FC236}">
                    <a16:creationId xmlns:a16="http://schemas.microsoft.com/office/drawing/2014/main" id="{00000000-0008-0000-0400-0000550C0000}"/>
                  </a:ext>
                </a:extLst>
              </xdr:cNvPr>
              <xdr:cNvSpPr/>
            </xdr:nvSpPr>
            <xdr:spPr bwMode="auto">
              <a:xfrm>
                <a:off x="3340960" y="3059756"/>
                <a:ext cx="1411199" cy="288001"/>
              </a:xfrm>
              <a:prstGeom prst="rect">
                <a:avLst/>
              </a:prstGeom>
              <a:noFill/>
              <a:ln w="9525">
                <a:miter lim="800000"/>
                <a:headEnd/>
                <a:tailEnd/>
              </a:ln>
              <a:extLst>
                <a:ext uri="{909E8E84-426E-40DD-AFC4-6F175D3DCCD1}">
                  <a14:hiddenFill>
                    <a:noFill/>
                  </a14:hiddenFill>
                </a:ext>
              </a:extLst>
            </xdr:spPr>
          </xdr:sp>
          <xdr:sp macro="" textlink="">
            <xdr:nvSpPr>
              <xdr:cNvPr id="3158" name="Option Button 86" hidden="1">
                <a:extLst>
                  <a:ext uri="{63B3BB69-23CF-44E3-9099-C40C66FF867C}">
                    <a14:compatExt spid="_x0000_s3158"/>
                  </a:ext>
                  <a:ext uri="{FF2B5EF4-FFF2-40B4-BE49-F238E27FC236}">
                    <a16:creationId xmlns:a16="http://schemas.microsoft.com/office/drawing/2014/main" id="{00000000-0008-0000-0400-0000560C0000}"/>
                  </a:ext>
                </a:extLst>
              </xdr:cNvPr>
              <xdr:cNvSpPr/>
            </xdr:nvSpPr>
            <xdr:spPr bwMode="auto">
              <a:xfrm>
                <a:off x="3644530" y="3142419"/>
                <a:ext cx="290517" cy="165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59" name="Option Button 87" hidden="1">
                <a:extLst>
                  <a:ext uri="{63B3BB69-23CF-44E3-9099-C40C66FF867C}">
                    <a14:compatExt spid="_x0000_s3159"/>
                  </a:ext>
                  <a:ext uri="{FF2B5EF4-FFF2-40B4-BE49-F238E27FC236}">
                    <a16:creationId xmlns:a16="http://schemas.microsoft.com/office/drawing/2014/main" id="{00000000-0008-0000-0400-0000570C0000}"/>
                  </a:ext>
                </a:extLst>
              </xdr:cNvPr>
              <xdr:cNvSpPr/>
            </xdr:nvSpPr>
            <xdr:spPr bwMode="auto">
              <a:xfrm>
                <a:off x="4341328" y="3142419"/>
                <a:ext cx="291345" cy="165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113222</xdr:colOff>
          <xdr:row>17</xdr:row>
          <xdr:rowOff>286287</xdr:rowOff>
        </xdr:from>
        <xdr:to>
          <xdr:col>12</xdr:col>
          <xdr:colOff>422</xdr:colOff>
          <xdr:row>18</xdr:row>
          <xdr:rowOff>286740</xdr:rowOff>
        </xdr:to>
        <xdr:grpSp>
          <xdr:nvGrpSpPr>
            <xdr:cNvPr id="19" name="Gruppieren 18">
              <a:extLst>
                <a:ext uri="{FF2B5EF4-FFF2-40B4-BE49-F238E27FC236}">
                  <a16:creationId xmlns:a16="http://schemas.microsoft.com/office/drawing/2014/main" id="{00000000-0008-0000-0400-000013000000}"/>
                </a:ext>
              </a:extLst>
            </xdr:cNvPr>
            <xdr:cNvGrpSpPr/>
          </xdr:nvGrpSpPr>
          <xdr:grpSpPr>
            <a:xfrm>
              <a:off x="3342197" y="3334287"/>
              <a:ext cx="1525500" cy="286203"/>
              <a:chOff x="3340960" y="3345088"/>
              <a:chExt cx="1411199" cy="288002"/>
            </a:xfrm>
          </xdr:grpSpPr>
          <xdr:sp macro="" textlink="">
            <xdr:nvSpPr>
              <xdr:cNvPr id="3160" name="Group Box 88" hidden="1">
                <a:extLst>
                  <a:ext uri="{63B3BB69-23CF-44E3-9099-C40C66FF867C}">
                    <a14:compatExt spid="_x0000_s3160"/>
                  </a:ext>
                  <a:ext uri="{FF2B5EF4-FFF2-40B4-BE49-F238E27FC236}">
                    <a16:creationId xmlns:a16="http://schemas.microsoft.com/office/drawing/2014/main" id="{00000000-0008-0000-0400-0000580C0000}"/>
                  </a:ext>
                </a:extLst>
              </xdr:cNvPr>
              <xdr:cNvSpPr/>
            </xdr:nvSpPr>
            <xdr:spPr bwMode="auto">
              <a:xfrm>
                <a:off x="3340960" y="3345088"/>
                <a:ext cx="1411199" cy="288002"/>
              </a:xfrm>
              <a:prstGeom prst="rect">
                <a:avLst/>
              </a:prstGeom>
              <a:noFill/>
              <a:ln w="9525">
                <a:miter lim="800000"/>
                <a:headEnd/>
                <a:tailEnd/>
              </a:ln>
              <a:extLst>
                <a:ext uri="{909E8E84-426E-40DD-AFC4-6F175D3DCCD1}">
                  <a14:hiddenFill>
                    <a:noFill/>
                  </a14:hiddenFill>
                </a:ext>
              </a:extLst>
            </xdr:spPr>
          </xdr:sp>
          <xdr:sp macro="" textlink="">
            <xdr:nvSpPr>
              <xdr:cNvPr id="3161" name="Option Button 89" hidden="1">
                <a:extLst>
                  <a:ext uri="{63B3BB69-23CF-44E3-9099-C40C66FF867C}">
                    <a14:compatExt spid="_x0000_s3161"/>
                  </a:ext>
                  <a:ext uri="{FF2B5EF4-FFF2-40B4-BE49-F238E27FC236}">
                    <a16:creationId xmlns:a16="http://schemas.microsoft.com/office/drawing/2014/main" id="{00000000-0008-0000-0400-0000590C0000}"/>
                  </a:ext>
                </a:extLst>
              </xdr:cNvPr>
              <xdr:cNvSpPr/>
            </xdr:nvSpPr>
            <xdr:spPr bwMode="auto">
              <a:xfrm>
                <a:off x="3644530" y="3422494"/>
                <a:ext cx="290517" cy="15404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62" name="Option Button 90" hidden="1">
                <a:extLst>
                  <a:ext uri="{63B3BB69-23CF-44E3-9099-C40C66FF867C}">
                    <a14:compatExt spid="_x0000_s3162"/>
                  </a:ext>
                  <a:ext uri="{FF2B5EF4-FFF2-40B4-BE49-F238E27FC236}">
                    <a16:creationId xmlns:a16="http://schemas.microsoft.com/office/drawing/2014/main" id="{00000000-0008-0000-0400-00005A0C0000}"/>
                  </a:ext>
                </a:extLst>
              </xdr:cNvPr>
              <xdr:cNvSpPr/>
            </xdr:nvSpPr>
            <xdr:spPr bwMode="auto">
              <a:xfrm>
                <a:off x="4341328" y="3422494"/>
                <a:ext cx="291345" cy="15404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71</xdr:row>
          <xdr:rowOff>0</xdr:rowOff>
        </xdr:from>
        <xdr:to>
          <xdr:col>6</xdr:col>
          <xdr:colOff>0</xdr:colOff>
          <xdr:row>72</xdr:row>
          <xdr:rowOff>0</xdr:rowOff>
        </xdr:to>
        <xdr:grpSp>
          <xdr:nvGrpSpPr>
            <xdr:cNvPr id="9" name="Gruppieren 8">
              <a:extLst>
                <a:ext uri="{FF2B5EF4-FFF2-40B4-BE49-F238E27FC236}">
                  <a16:creationId xmlns:a16="http://schemas.microsoft.com/office/drawing/2014/main" id="{00000000-0008-0000-0400-000009000000}"/>
                </a:ext>
              </a:extLst>
            </xdr:cNvPr>
            <xdr:cNvGrpSpPr/>
          </xdr:nvGrpSpPr>
          <xdr:grpSpPr>
            <a:xfrm>
              <a:off x="1476375" y="16021050"/>
              <a:ext cx="1524000" cy="485775"/>
              <a:chOff x="1489563" y="15848230"/>
              <a:chExt cx="1524000" cy="483574"/>
            </a:xfrm>
          </xdr:grpSpPr>
          <xdr:sp macro="" textlink="">
            <xdr:nvSpPr>
              <xdr:cNvPr id="3163" name="Option Button 91" hidden="1">
                <a:extLst>
                  <a:ext uri="{63B3BB69-23CF-44E3-9099-C40C66FF867C}">
                    <a14:compatExt spid="_x0000_s3163"/>
                  </a:ext>
                  <a:ext uri="{FF2B5EF4-FFF2-40B4-BE49-F238E27FC236}">
                    <a16:creationId xmlns:a16="http://schemas.microsoft.com/office/drawing/2014/main" id="{00000000-0008-0000-0400-00005B0C0000}"/>
                  </a:ext>
                </a:extLst>
              </xdr:cNvPr>
              <xdr:cNvSpPr/>
            </xdr:nvSpPr>
            <xdr:spPr bwMode="auto">
              <a:xfrm>
                <a:off x="1762490" y="16000958"/>
                <a:ext cx="304800" cy="21841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64" name="Option Button 92" hidden="1">
                <a:extLst>
                  <a:ext uri="{63B3BB69-23CF-44E3-9099-C40C66FF867C}">
                    <a14:compatExt spid="_x0000_s3164"/>
                  </a:ext>
                  <a:ext uri="{FF2B5EF4-FFF2-40B4-BE49-F238E27FC236}">
                    <a16:creationId xmlns:a16="http://schemas.microsoft.com/office/drawing/2014/main" id="{00000000-0008-0000-0400-00005C0C0000}"/>
                  </a:ext>
                </a:extLst>
              </xdr:cNvPr>
              <xdr:cNvSpPr/>
            </xdr:nvSpPr>
            <xdr:spPr bwMode="auto">
              <a:xfrm>
                <a:off x="2519911" y="16000958"/>
                <a:ext cx="304800" cy="21841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69" name="Group Box 97" hidden="1">
                <a:extLst>
                  <a:ext uri="{63B3BB69-23CF-44E3-9099-C40C66FF867C}">
                    <a14:compatExt spid="_x0000_s3169"/>
                  </a:ext>
                  <a:ext uri="{FF2B5EF4-FFF2-40B4-BE49-F238E27FC236}">
                    <a16:creationId xmlns:a16="http://schemas.microsoft.com/office/drawing/2014/main" id="{00000000-0008-0000-0400-0000610C0000}"/>
                  </a:ext>
                </a:extLst>
              </xdr:cNvPr>
              <xdr:cNvSpPr/>
            </xdr:nvSpPr>
            <xdr:spPr bwMode="auto">
              <a:xfrm>
                <a:off x="1489563" y="15848230"/>
                <a:ext cx="1524000" cy="48357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72</xdr:row>
          <xdr:rowOff>0</xdr:rowOff>
        </xdr:from>
        <xdr:to>
          <xdr:col>6</xdr:col>
          <xdr:colOff>0</xdr:colOff>
          <xdr:row>73</xdr:row>
          <xdr:rowOff>0</xdr:rowOff>
        </xdr:to>
        <xdr:grpSp>
          <xdr:nvGrpSpPr>
            <xdr:cNvPr id="18" name="Gruppieren 17">
              <a:extLst>
                <a:ext uri="{FF2B5EF4-FFF2-40B4-BE49-F238E27FC236}">
                  <a16:creationId xmlns:a16="http://schemas.microsoft.com/office/drawing/2014/main" id="{00000000-0008-0000-0400-000012000000}"/>
                </a:ext>
              </a:extLst>
            </xdr:cNvPr>
            <xdr:cNvGrpSpPr/>
          </xdr:nvGrpSpPr>
          <xdr:grpSpPr>
            <a:xfrm>
              <a:off x="1476375" y="16506825"/>
              <a:ext cx="1524000" cy="485775"/>
              <a:chOff x="1478017" y="16303991"/>
              <a:chExt cx="1524000" cy="486104"/>
            </a:xfrm>
          </xdr:grpSpPr>
          <xdr:sp macro="" textlink="">
            <xdr:nvSpPr>
              <xdr:cNvPr id="3165" name="Option Button 93" hidden="1">
                <a:extLst>
                  <a:ext uri="{63B3BB69-23CF-44E3-9099-C40C66FF867C}">
                    <a14:compatExt spid="_x0000_s3165"/>
                  </a:ext>
                  <a:ext uri="{FF2B5EF4-FFF2-40B4-BE49-F238E27FC236}">
                    <a16:creationId xmlns:a16="http://schemas.microsoft.com/office/drawing/2014/main" id="{00000000-0008-0000-0400-00005D0C0000}"/>
                  </a:ext>
                </a:extLst>
              </xdr:cNvPr>
              <xdr:cNvSpPr/>
            </xdr:nvSpPr>
            <xdr:spPr bwMode="auto">
              <a:xfrm>
                <a:off x="1760469" y="16453586"/>
                <a:ext cx="304800" cy="21858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67" name="Option Button 95" hidden="1">
                <a:extLst>
                  <a:ext uri="{63B3BB69-23CF-44E3-9099-C40C66FF867C}">
                    <a14:compatExt spid="_x0000_s3167"/>
                  </a:ext>
                  <a:ext uri="{FF2B5EF4-FFF2-40B4-BE49-F238E27FC236}">
                    <a16:creationId xmlns:a16="http://schemas.microsoft.com/office/drawing/2014/main" id="{00000000-0008-0000-0400-00005F0C0000}"/>
                  </a:ext>
                </a:extLst>
              </xdr:cNvPr>
              <xdr:cNvSpPr/>
            </xdr:nvSpPr>
            <xdr:spPr bwMode="auto">
              <a:xfrm>
                <a:off x="2517890" y="16453677"/>
                <a:ext cx="304800" cy="21621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70" name="Group Box 98" hidden="1">
                <a:extLst>
                  <a:ext uri="{63B3BB69-23CF-44E3-9099-C40C66FF867C}">
                    <a14:compatExt spid="_x0000_s3170"/>
                  </a:ext>
                  <a:ext uri="{FF2B5EF4-FFF2-40B4-BE49-F238E27FC236}">
                    <a16:creationId xmlns:a16="http://schemas.microsoft.com/office/drawing/2014/main" id="{00000000-0008-0000-0400-0000620C0000}"/>
                  </a:ext>
                </a:extLst>
              </xdr:cNvPr>
              <xdr:cNvSpPr/>
            </xdr:nvSpPr>
            <xdr:spPr bwMode="auto">
              <a:xfrm>
                <a:off x="1478017" y="16303991"/>
                <a:ext cx="1524000" cy="48610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266700</xdr:colOff>
          <xdr:row>38</xdr:row>
          <xdr:rowOff>0</xdr:rowOff>
        </xdr:from>
        <xdr:to>
          <xdr:col>15</xdr:col>
          <xdr:colOff>0</xdr:colOff>
          <xdr:row>40</xdr:row>
          <xdr:rowOff>0</xdr:rowOff>
        </xdr:to>
        <xdr:sp macro="" textlink="">
          <xdr:nvSpPr>
            <xdr:cNvPr id="3178" name="Group Box 106" hidden="1">
              <a:extLst>
                <a:ext uri="{63B3BB69-23CF-44E3-9099-C40C66FF867C}">
                  <a14:compatExt spid="_x0000_s3178"/>
                </a:ext>
                <a:ext uri="{FF2B5EF4-FFF2-40B4-BE49-F238E27FC236}">
                  <a16:creationId xmlns:a16="http://schemas.microsoft.com/office/drawing/2014/main" id="{00000000-0008-0000-0400-00006A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271346</xdr:colOff>
          <xdr:row>40</xdr:row>
          <xdr:rowOff>0</xdr:rowOff>
        </xdr:from>
        <xdr:to>
          <xdr:col>15</xdr:col>
          <xdr:colOff>2268</xdr:colOff>
          <xdr:row>42</xdr:row>
          <xdr:rowOff>0</xdr:rowOff>
        </xdr:to>
        <xdr:grpSp>
          <xdr:nvGrpSpPr>
            <xdr:cNvPr id="7" name="Gruppieren 6">
              <a:extLst>
                <a:ext uri="{FF2B5EF4-FFF2-40B4-BE49-F238E27FC236}">
                  <a16:creationId xmlns:a16="http://schemas.microsoft.com/office/drawing/2014/main" id="{00000000-0008-0000-0400-000007000000}"/>
                </a:ext>
              </a:extLst>
            </xdr:cNvPr>
            <xdr:cNvGrpSpPr/>
          </xdr:nvGrpSpPr>
          <xdr:grpSpPr>
            <a:xfrm>
              <a:off x="4262321" y="10163175"/>
              <a:ext cx="2045497" cy="381000"/>
              <a:chOff x="4265298" y="10149052"/>
              <a:chExt cx="2043197" cy="381000"/>
            </a:xfrm>
          </xdr:grpSpPr>
          <xdr:sp macro="" textlink="">
            <xdr:nvSpPr>
              <xdr:cNvPr id="3180" name="Option Button 108" hidden="1">
                <a:extLst>
                  <a:ext uri="{63B3BB69-23CF-44E3-9099-C40C66FF867C}">
                    <a14:compatExt spid="_x0000_s3180"/>
                  </a:ext>
                  <a:ext uri="{FF2B5EF4-FFF2-40B4-BE49-F238E27FC236}">
                    <a16:creationId xmlns:a16="http://schemas.microsoft.com/office/drawing/2014/main" id="{00000000-0008-0000-0400-00006C0C0000}"/>
                  </a:ext>
                </a:extLst>
              </xdr:cNvPr>
              <xdr:cNvSpPr/>
            </xdr:nvSpPr>
            <xdr:spPr bwMode="auto">
              <a:xfrm>
                <a:off x="4470276" y="10203647"/>
                <a:ext cx="304561"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81" name="Option Button 109" hidden="1">
                <a:extLst>
                  <a:ext uri="{63B3BB69-23CF-44E3-9099-C40C66FF867C}">
                    <a14:compatExt spid="_x0000_s3181"/>
                  </a:ext>
                  <a:ext uri="{FF2B5EF4-FFF2-40B4-BE49-F238E27FC236}">
                    <a16:creationId xmlns:a16="http://schemas.microsoft.com/office/drawing/2014/main" id="{00000000-0008-0000-0400-00006D0C0000}"/>
                  </a:ext>
                </a:extLst>
              </xdr:cNvPr>
              <xdr:cNvSpPr/>
            </xdr:nvSpPr>
            <xdr:spPr bwMode="auto">
              <a:xfrm>
                <a:off x="5161647" y="10203647"/>
                <a:ext cx="303866"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82" name="Option Button 110" hidden="1">
                <a:extLst>
                  <a:ext uri="{63B3BB69-23CF-44E3-9099-C40C66FF867C}">
                    <a14:compatExt spid="_x0000_s3182"/>
                  </a:ext>
                  <a:ext uri="{FF2B5EF4-FFF2-40B4-BE49-F238E27FC236}">
                    <a16:creationId xmlns:a16="http://schemas.microsoft.com/office/drawing/2014/main" id="{00000000-0008-0000-0400-00006E0C0000}"/>
                  </a:ext>
                </a:extLst>
              </xdr:cNvPr>
              <xdr:cNvSpPr/>
            </xdr:nvSpPr>
            <xdr:spPr bwMode="auto">
              <a:xfrm>
                <a:off x="5864403" y="10203647"/>
                <a:ext cx="303866"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83" name="Group Box 111" hidden="1">
                <a:extLst>
                  <a:ext uri="{63B3BB69-23CF-44E3-9099-C40C66FF867C}">
                    <a14:compatExt spid="_x0000_s3183"/>
                  </a:ext>
                  <a:ext uri="{FF2B5EF4-FFF2-40B4-BE49-F238E27FC236}">
                    <a16:creationId xmlns:a16="http://schemas.microsoft.com/office/drawing/2014/main" id="{00000000-0008-0000-0400-00006F0C0000}"/>
                  </a:ext>
                </a:extLst>
              </xdr:cNvPr>
              <xdr:cNvSpPr/>
            </xdr:nvSpPr>
            <xdr:spPr bwMode="auto">
              <a:xfrm>
                <a:off x="4265298" y="10149052"/>
                <a:ext cx="2043197" cy="3810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2400</xdr:colOff>
          <xdr:row>73</xdr:row>
          <xdr:rowOff>202</xdr:rowOff>
        </xdr:from>
        <xdr:to>
          <xdr:col>5</xdr:col>
          <xdr:colOff>759600</xdr:colOff>
          <xdr:row>74</xdr:row>
          <xdr:rowOff>31</xdr:rowOff>
        </xdr:to>
        <xdr:grpSp>
          <xdr:nvGrpSpPr>
            <xdr:cNvPr id="15" name="Gruppieren 14">
              <a:extLst>
                <a:ext uri="{FF2B5EF4-FFF2-40B4-BE49-F238E27FC236}">
                  <a16:creationId xmlns:a16="http://schemas.microsoft.com/office/drawing/2014/main" id="{00000000-0008-0000-0400-00000F000000}"/>
                </a:ext>
              </a:extLst>
            </xdr:cNvPr>
            <xdr:cNvGrpSpPr/>
          </xdr:nvGrpSpPr>
          <xdr:grpSpPr>
            <a:xfrm>
              <a:off x="1478775" y="16992802"/>
              <a:ext cx="1519200" cy="485604"/>
              <a:chOff x="1482274" y="16790642"/>
              <a:chExt cx="1519200" cy="485930"/>
            </a:xfrm>
          </xdr:grpSpPr>
          <xdr:sp macro="" textlink="">
            <xdr:nvSpPr>
              <xdr:cNvPr id="3171" name="Group Box 99" hidden="1">
                <a:extLst>
                  <a:ext uri="{63B3BB69-23CF-44E3-9099-C40C66FF867C}">
                    <a14:compatExt spid="_x0000_s3171"/>
                  </a:ext>
                  <a:ext uri="{FF2B5EF4-FFF2-40B4-BE49-F238E27FC236}">
                    <a16:creationId xmlns:a16="http://schemas.microsoft.com/office/drawing/2014/main" id="{00000000-0008-0000-0400-0000630C0000}"/>
                  </a:ext>
                </a:extLst>
              </xdr:cNvPr>
              <xdr:cNvSpPr/>
            </xdr:nvSpPr>
            <xdr:spPr bwMode="auto">
              <a:xfrm>
                <a:off x="1482274" y="16790642"/>
                <a:ext cx="1519200" cy="485930"/>
              </a:xfrm>
              <a:prstGeom prst="rect">
                <a:avLst/>
              </a:prstGeom>
              <a:noFill/>
              <a:ln w="9525">
                <a:miter lim="800000"/>
                <a:headEnd/>
                <a:tailEnd/>
              </a:ln>
              <a:extLst>
                <a:ext uri="{909E8E84-426E-40DD-AFC4-6F175D3DCCD1}">
                  <a14:hiddenFill>
                    <a:noFill/>
                  </a14:hiddenFill>
                </a:ext>
              </a:extLst>
            </xdr:spPr>
          </xdr:sp>
          <xdr:sp macro="" textlink="">
            <xdr:nvSpPr>
              <xdr:cNvPr id="3192" name="Option Button 120" hidden="1">
                <a:extLst>
                  <a:ext uri="{63B3BB69-23CF-44E3-9099-C40C66FF867C}">
                    <a14:compatExt spid="_x0000_s3192"/>
                  </a:ext>
                  <a:ext uri="{FF2B5EF4-FFF2-40B4-BE49-F238E27FC236}">
                    <a16:creationId xmlns:a16="http://schemas.microsoft.com/office/drawing/2014/main" id="{00000000-0008-0000-0400-0000780C0000}"/>
                  </a:ext>
                </a:extLst>
              </xdr:cNvPr>
              <xdr:cNvSpPr/>
            </xdr:nvSpPr>
            <xdr:spPr bwMode="auto">
              <a:xfrm>
                <a:off x="1760469" y="16927239"/>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3193" name="Option Button 121" hidden="1">
                <a:extLst>
                  <a:ext uri="{63B3BB69-23CF-44E3-9099-C40C66FF867C}">
                    <a14:compatExt spid="_x0000_s3193"/>
                  </a:ext>
                  <a:ext uri="{FF2B5EF4-FFF2-40B4-BE49-F238E27FC236}">
                    <a16:creationId xmlns:a16="http://schemas.microsoft.com/office/drawing/2014/main" id="{00000000-0008-0000-0400-0000790C0000}"/>
                  </a:ext>
                </a:extLst>
              </xdr:cNvPr>
              <xdr:cNvSpPr/>
            </xdr:nvSpPr>
            <xdr:spPr bwMode="auto">
              <a:xfrm>
                <a:off x="2517890" y="16927239"/>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38</xdr:row>
          <xdr:rowOff>38100</xdr:rowOff>
        </xdr:from>
        <xdr:to>
          <xdr:col>14</xdr:col>
          <xdr:colOff>495300</xdr:colOff>
          <xdr:row>39</xdr:row>
          <xdr:rowOff>47625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400-00007A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38</xdr:row>
          <xdr:rowOff>38100</xdr:rowOff>
        </xdr:from>
        <xdr:to>
          <xdr:col>11</xdr:col>
          <xdr:colOff>466725</xdr:colOff>
          <xdr:row>39</xdr:row>
          <xdr:rowOff>47625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400-00007B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295275</xdr:colOff>
          <xdr:row>38</xdr:row>
          <xdr:rowOff>38100</xdr:rowOff>
        </xdr:from>
        <xdr:to>
          <xdr:col>13</xdr:col>
          <xdr:colOff>219075</xdr:colOff>
          <xdr:row>39</xdr:row>
          <xdr:rowOff>47625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400-00007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330293</xdr:colOff>
      <xdr:row>3</xdr:row>
      <xdr:rowOff>1081</xdr:rowOff>
    </xdr:from>
    <xdr:to>
      <xdr:col>10</xdr:col>
      <xdr:colOff>11327</xdr:colOff>
      <xdr:row>12</xdr:row>
      <xdr:rowOff>10746</xdr:rowOff>
    </xdr:to>
    <xdr:grpSp>
      <xdr:nvGrpSpPr>
        <xdr:cNvPr id="11" name="Gruppieren 10">
          <a:extLst>
            <a:ext uri="{FF2B5EF4-FFF2-40B4-BE49-F238E27FC236}">
              <a16:creationId xmlns:a16="http://schemas.microsoft.com/office/drawing/2014/main" id="{00000000-0008-0000-0600-00000B000000}"/>
            </a:ext>
          </a:extLst>
        </xdr:cNvPr>
        <xdr:cNvGrpSpPr/>
      </xdr:nvGrpSpPr>
      <xdr:grpSpPr>
        <a:xfrm>
          <a:off x="3549743" y="477331"/>
          <a:ext cx="214434" cy="1419365"/>
          <a:chOff x="3548740" y="482344"/>
          <a:chExt cx="212429" cy="1423376"/>
        </a:xfrm>
      </xdr:grpSpPr>
      <xdr:pic>
        <xdr:nvPicPr>
          <xdr:cNvPr id="2" name="Graphic 4" descr="Employee badge outlin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60385" y="482344"/>
            <a:ext cx="189139" cy="198492"/>
          </a:xfrm>
          <a:prstGeom prst="rect">
            <a:avLst/>
          </a:prstGeom>
        </xdr:spPr>
      </xdr:pic>
      <xdr:pic>
        <xdr:nvPicPr>
          <xdr:cNvPr id="3" name="Graphic 1" descr="Email outlin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52712" y="794722"/>
            <a:ext cx="204484" cy="170146"/>
          </a:xfrm>
          <a:prstGeom prst="rect">
            <a:avLst/>
          </a:prstGeom>
        </xdr:spPr>
      </xdr:pic>
      <xdr:pic>
        <xdr:nvPicPr>
          <xdr:cNvPr id="4" name="Graphic 2" descr="Telephone outline">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555689" y="1086424"/>
            <a:ext cx="198530" cy="209802"/>
          </a:xfrm>
          <a:prstGeom prst="rect">
            <a:avLst/>
          </a:prstGeom>
        </xdr:spPr>
      </xdr:pic>
      <xdr:pic>
        <xdr:nvPicPr>
          <xdr:cNvPr id="5" name="Graphic 3" descr="Briefcase outline">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55335" y="1403463"/>
            <a:ext cx="199239" cy="186800"/>
          </a:xfrm>
          <a:prstGeom prst="rect">
            <a:avLst/>
          </a:prstGeom>
        </xdr:spPr>
      </xdr:pic>
      <xdr:pic>
        <xdr:nvPicPr>
          <xdr:cNvPr id="6" name="Graphic 3" descr="Help">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48740" y="1691748"/>
            <a:ext cx="212429" cy="213972"/>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12</xdr:col>
          <xdr:colOff>114300</xdr:colOff>
          <xdr:row>19</xdr:row>
          <xdr:rowOff>352425</xdr:rowOff>
        </xdr:from>
        <xdr:to>
          <xdr:col>13</xdr:col>
          <xdr:colOff>114300</xdr:colOff>
          <xdr:row>21</xdr:row>
          <xdr:rowOff>28575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6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636</xdr:colOff>
          <xdr:row>14</xdr:row>
          <xdr:rowOff>190082</xdr:rowOff>
        </xdr:from>
        <xdr:to>
          <xdr:col>12</xdr:col>
          <xdr:colOff>1454</xdr:colOff>
          <xdr:row>17</xdr:row>
          <xdr:rowOff>482</xdr:rowOff>
        </xdr:to>
        <xdr:grpSp>
          <xdr:nvGrpSpPr>
            <xdr:cNvPr id="7" name="Gruppieren 6">
              <a:extLst>
                <a:ext uri="{FF2B5EF4-FFF2-40B4-BE49-F238E27FC236}">
                  <a16:creationId xmlns:a16="http://schemas.microsoft.com/office/drawing/2014/main" id="{00000000-0008-0000-0600-000007000000}"/>
                </a:ext>
              </a:extLst>
            </xdr:cNvPr>
            <xdr:cNvGrpSpPr/>
          </xdr:nvGrpSpPr>
          <xdr:grpSpPr>
            <a:xfrm>
              <a:off x="3220086" y="2333207"/>
              <a:ext cx="1505768" cy="572400"/>
              <a:chOff x="3220356" y="2336628"/>
              <a:chExt cx="1516768" cy="381599"/>
            </a:xfrm>
          </xdr:grpSpPr>
          <xdr:sp macro="" textlink="">
            <xdr:nvSpPr>
              <xdr:cNvPr id="10255" name="Option Button 15" hidden="1">
                <a:extLst>
                  <a:ext uri="{63B3BB69-23CF-44E3-9099-C40C66FF867C}">
                    <a14:compatExt spid="_x0000_s10255"/>
                  </a:ext>
                  <a:ext uri="{FF2B5EF4-FFF2-40B4-BE49-F238E27FC236}">
                    <a16:creationId xmlns:a16="http://schemas.microsoft.com/office/drawing/2014/main" id="{00000000-0008-0000-0600-00000F280000}"/>
                  </a:ext>
                </a:extLst>
              </xdr:cNvPr>
              <xdr:cNvSpPr/>
            </xdr:nvSpPr>
            <xdr:spPr bwMode="auto">
              <a:xfrm>
                <a:off x="3525879" y="2413179"/>
                <a:ext cx="305337"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56" name="Option Button 16" hidden="1">
                <a:extLst>
                  <a:ext uri="{63B3BB69-23CF-44E3-9099-C40C66FF867C}">
                    <a14:compatExt spid="_x0000_s10256"/>
                  </a:ext>
                  <a:ext uri="{FF2B5EF4-FFF2-40B4-BE49-F238E27FC236}">
                    <a16:creationId xmlns:a16="http://schemas.microsoft.com/office/drawing/2014/main" id="{00000000-0008-0000-0600-000010280000}"/>
                  </a:ext>
                </a:extLst>
              </xdr:cNvPr>
              <xdr:cNvSpPr/>
            </xdr:nvSpPr>
            <xdr:spPr bwMode="auto">
              <a:xfrm>
                <a:off x="4276303" y="2413179"/>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4" name="Group Box 24" hidden="1">
                <a:extLst>
                  <a:ext uri="{63B3BB69-23CF-44E3-9099-C40C66FF867C}">
                    <a14:compatExt spid="_x0000_s10264"/>
                  </a:ext>
                  <a:ext uri="{FF2B5EF4-FFF2-40B4-BE49-F238E27FC236}">
                    <a16:creationId xmlns:a16="http://schemas.microsoft.com/office/drawing/2014/main" id="{00000000-0008-0000-0600-000018280000}"/>
                  </a:ext>
                </a:extLst>
              </xdr:cNvPr>
              <xdr:cNvSpPr/>
            </xdr:nvSpPr>
            <xdr:spPr bwMode="auto">
              <a:xfrm>
                <a:off x="3220356" y="2336628"/>
                <a:ext cx="1516768" cy="38159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636</xdr:colOff>
          <xdr:row>17</xdr:row>
          <xdr:rowOff>0</xdr:rowOff>
        </xdr:from>
        <xdr:to>
          <xdr:col>12</xdr:col>
          <xdr:colOff>466</xdr:colOff>
          <xdr:row>19</xdr:row>
          <xdr:rowOff>900</xdr:rowOff>
        </xdr:to>
        <xdr:grpSp>
          <xdr:nvGrpSpPr>
            <xdr:cNvPr id="8" name="Gruppieren 7">
              <a:extLst>
                <a:ext uri="{FF2B5EF4-FFF2-40B4-BE49-F238E27FC236}">
                  <a16:creationId xmlns:a16="http://schemas.microsoft.com/office/drawing/2014/main" id="{00000000-0008-0000-0600-000008000000}"/>
                </a:ext>
              </a:extLst>
            </xdr:cNvPr>
            <xdr:cNvGrpSpPr/>
          </xdr:nvGrpSpPr>
          <xdr:grpSpPr>
            <a:xfrm>
              <a:off x="3220086" y="2905125"/>
              <a:ext cx="1504780" cy="572400"/>
              <a:chOff x="3220391" y="2719401"/>
              <a:chExt cx="1515780" cy="381599"/>
            </a:xfrm>
          </xdr:grpSpPr>
          <xdr:sp macro="" textlink="">
            <xdr:nvSpPr>
              <xdr:cNvPr id="10258" name="Option Button 18" hidden="1">
                <a:extLst>
                  <a:ext uri="{63B3BB69-23CF-44E3-9099-C40C66FF867C}">
                    <a14:compatExt spid="_x0000_s10258"/>
                  </a:ext>
                  <a:ext uri="{FF2B5EF4-FFF2-40B4-BE49-F238E27FC236}">
                    <a16:creationId xmlns:a16="http://schemas.microsoft.com/office/drawing/2014/main" id="{00000000-0008-0000-0600-000012280000}"/>
                  </a:ext>
                </a:extLst>
              </xdr:cNvPr>
              <xdr:cNvSpPr/>
            </xdr:nvSpPr>
            <xdr:spPr bwMode="auto">
              <a:xfrm>
                <a:off x="3525879" y="2799622"/>
                <a:ext cx="305337"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59" name="Option Button 19" hidden="1">
                <a:extLst>
                  <a:ext uri="{63B3BB69-23CF-44E3-9099-C40C66FF867C}">
                    <a14:compatExt spid="_x0000_s10259"/>
                  </a:ext>
                  <a:ext uri="{FF2B5EF4-FFF2-40B4-BE49-F238E27FC236}">
                    <a16:creationId xmlns:a16="http://schemas.microsoft.com/office/drawing/2014/main" id="{00000000-0008-0000-0600-000013280000}"/>
                  </a:ext>
                </a:extLst>
              </xdr:cNvPr>
              <xdr:cNvSpPr/>
            </xdr:nvSpPr>
            <xdr:spPr bwMode="auto">
              <a:xfrm>
                <a:off x="4276303" y="2799622"/>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5" name="Group Box 25" hidden="1">
                <a:extLst>
                  <a:ext uri="{63B3BB69-23CF-44E3-9099-C40C66FF867C}">
                    <a14:compatExt spid="_x0000_s10265"/>
                  </a:ext>
                  <a:ext uri="{FF2B5EF4-FFF2-40B4-BE49-F238E27FC236}">
                    <a16:creationId xmlns:a16="http://schemas.microsoft.com/office/drawing/2014/main" id="{00000000-0008-0000-0600-000019280000}"/>
                  </a:ext>
                </a:extLst>
              </xdr:cNvPr>
              <xdr:cNvSpPr/>
            </xdr:nvSpPr>
            <xdr:spPr bwMode="auto">
              <a:xfrm>
                <a:off x="3220391" y="2719401"/>
                <a:ext cx="1515780" cy="381599"/>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636</xdr:colOff>
          <xdr:row>19</xdr:row>
          <xdr:rowOff>676</xdr:rowOff>
        </xdr:from>
        <xdr:to>
          <xdr:col>12</xdr:col>
          <xdr:colOff>1028</xdr:colOff>
          <xdr:row>20</xdr:row>
          <xdr:rowOff>1276</xdr:rowOff>
        </xdr:to>
        <xdr:grpSp>
          <xdr:nvGrpSpPr>
            <xdr:cNvPr id="9" name="Gruppieren 8">
              <a:extLst>
                <a:ext uri="{FF2B5EF4-FFF2-40B4-BE49-F238E27FC236}">
                  <a16:creationId xmlns:a16="http://schemas.microsoft.com/office/drawing/2014/main" id="{00000000-0008-0000-0600-000009000000}"/>
                </a:ext>
              </a:extLst>
            </xdr:cNvPr>
            <xdr:cNvGrpSpPr/>
          </xdr:nvGrpSpPr>
          <xdr:grpSpPr>
            <a:xfrm>
              <a:off x="3220086" y="3477301"/>
              <a:ext cx="1505342" cy="381600"/>
              <a:chOff x="3220345" y="3099655"/>
              <a:chExt cx="1516344" cy="381600"/>
            </a:xfrm>
          </xdr:grpSpPr>
          <xdr:sp macro="" textlink="">
            <xdr:nvSpPr>
              <xdr:cNvPr id="10260" name="Option Button 20" hidden="1">
                <a:extLst>
                  <a:ext uri="{63B3BB69-23CF-44E3-9099-C40C66FF867C}">
                    <a14:compatExt spid="_x0000_s10260"/>
                  </a:ext>
                  <a:ext uri="{FF2B5EF4-FFF2-40B4-BE49-F238E27FC236}">
                    <a16:creationId xmlns:a16="http://schemas.microsoft.com/office/drawing/2014/main" id="{00000000-0008-0000-0600-000014280000}"/>
                  </a:ext>
                </a:extLst>
              </xdr:cNvPr>
              <xdr:cNvSpPr/>
            </xdr:nvSpPr>
            <xdr:spPr bwMode="auto">
              <a:xfrm>
                <a:off x="3525879" y="3186065"/>
                <a:ext cx="305337"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1" name="Option Button 21" hidden="1">
                <a:extLst>
                  <a:ext uri="{63B3BB69-23CF-44E3-9099-C40C66FF867C}">
                    <a14:compatExt spid="_x0000_s10261"/>
                  </a:ext>
                  <a:ext uri="{FF2B5EF4-FFF2-40B4-BE49-F238E27FC236}">
                    <a16:creationId xmlns:a16="http://schemas.microsoft.com/office/drawing/2014/main" id="{00000000-0008-0000-0600-000015280000}"/>
                  </a:ext>
                </a:extLst>
              </xdr:cNvPr>
              <xdr:cNvSpPr/>
            </xdr:nvSpPr>
            <xdr:spPr bwMode="auto">
              <a:xfrm>
                <a:off x="4276303" y="3186065"/>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6" name="Group Box 26" hidden="1">
                <a:extLst>
                  <a:ext uri="{63B3BB69-23CF-44E3-9099-C40C66FF867C}">
                    <a14:compatExt spid="_x0000_s10266"/>
                  </a:ext>
                  <a:ext uri="{FF2B5EF4-FFF2-40B4-BE49-F238E27FC236}">
                    <a16:creationId xmlns:a16="http://schemas.microsoft.com/office/drawing/2014/main" id="{00000000-0008-0000-0600-00001A280000}"/>
                  </a:ext>
                </a:extLst>
              </xdr:cNvPr>
              <xdr:cNvSpPr/>
            </xdr:nvSpPr>
            <xdr:spPr bwMode="auto">
              <a:xfrm>
                <a:off x="3220345" y="3099655"/>
                <a:ext cx="1516344"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636</xdr:colOff>
          <xdr:row>19</xdr:row>
          <xdr:rowOff>379980</xdr:rowOff>
        </xdr:from>
        <xdr:to>
          <xdr:col>12</xdr:col>
          <xdr:colOff>641</xdr:colOff>
          <xdr:row>20</xdr:row>
          <xdr:rowOff>380580</xdr:rowOff>
        </xdr:to>
        <xdr:grpSp>
          <xdr:nvGrpSpPr>
            <xdr:cNvPr id="10" name="Gruppieren 9">
              <a:extLst>
                <a:ext uri="{FF2B5EF4-FFF2-40B4-BE49-F238E27FC236}">
                  <a16:creationId xmlns:a16="http://schemas.microsoft.com/office/drawing/2014/main" id="{00000000-0008-0000-0600-00000A000000}"/>
                </a:ext>
              </a:extLst>
            </xdr:cNvPr>
            <xdr:cNvGrpSpPr/>
          </xdr:nvGrpSpPr>
          <xdr:grpSpPr>
            <a:xfrm>
              <a:off x="3220086" y="3856605"/>
              <a:ext cx="1504955" cy="381600"/>
              <a:chOff x="3220385" y="3478959"/>
              <a:chExt cx="1515955" cy="381600"/>
            </a:xfrm>
          </xdr:grpSpPr>
          <xdr:sp macro="" textlink="">
            <xdr:nvSpPr>
              <xdr:cNvPr id="10262" name="Option Button 22" hidden="1">
                <a:extLst>
                  <a:ext uri="{63B3BB69-23CF-44E3-9099-C40C66FF867C}">
                    <a14:compatExt spid="_x0000_s10262"/>
                  </a:ext>
                  <a:ext uri="{FF2B5EF4-FFF2-40B4-BE49-F238E27FC236}">
                    <a16:creationId xmlns:a16="http://schemas.microsoft.com/office/drawing/2014/main" id="{00000000-0008-0000-0600-000016280000}"/>
                  </a:ext>
                </a:extLst>
              </xdr:cNvPr>
              <xdr:cNvSpPr/>
            </xdr:nvSpPr>
            <xdr:spPr bwMode="auto">
              <a:xfrm>
                <a:off x="3525879" y="3572509"/>
                <a:ext cx="305337"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3" name="Option Button 23" hidden="1">
                <a:extLst>
                  <a:ext uri="{63B3BB69-23CF-44E3-9099-C40C66FF867C}">
                    <a14:compatExt spid="_x0000_s10263"/>
                  </a:ext>
                  <a:ext uri="{FF2B5EF4-FFF2-40B4-BE49-F238E27FC236}">
                    <a16:creationId xmlns:a16="http://schemas.microsoft.com/office/drawing/2014/main" id="{00000000-0008-0000-0600-000017280000}"/>
                  </a:ext>
                </a:extLst>
              </xdr:cNvPr>
              <xdr:cNvSpPr/>
            </xdr:nvSpPr>
            <xdr:spPr bwMode="auto">
              <a:xfrm>
                <a:off x="4276303" y="3572509"/>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0267" name="Group Box 27" hidden="1">
                <a:extLst>
                  <a:ext uri="{63B3BB69-23CF-44E3-9099-C40C66FF867C}">
                    <a14:compatExt spid="_x0000_s10267"/>
                  </a:ext>
                  <a:ext uri="{FF2B5EF4-FFF2-40B4-BE49-F238E27FC236}">
                    <a16:creationId xmlns:a16="http://schemas.microsoft.com/office/drawing/2014/main" id="{00000000-0008-0000-0600-00001B280000}"/>
                  </a:ext>
                </a:extLst>
              </xdr:cNvPr>
              <xdr:cNvSpPr/>
            </xdr:nvSpPr>
            <xdr:spPr bwMode="auto">
              <a:xfrm>
                <a:off x="3220385" y="3478959"/>
                <a:ext cx="1515955"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330293</xdr:colOff>
      <xdr:row>2</xdr:row>
      <xdr:rowOff>120824</xdr:rowOff>
    </xdr:from>
    <xdr:to>
      <xdr:col>10</xdr:col>
      <xdr:colOff>11327</xdr:colOff>
      <xdr:row>12</xdr:row>
      <xdr:rowOff>16190</xdr:rowOff>
    </xdr:to>
    <xdr:grpSp>
      <xdr:nvGrpSpPr>
        <xdr:cNvPr id="18" name="Gruppieren 17">
          <a:extLst>
            <a:ext uri="{FF2B5EF4-FFF2-40B4-BE49-F238E27FC236}">
              <a16:creationId xmlns:a16="http://schemas.microsoft.com/office/drawing/2014/main" id="{00000000-0008-0000-0800-000012000000}"/>
            </a:ext>
          </a:extLst>
        </xdr:cNvPr>
        <xdr:cNvGrpSpPr/>
      </xdr:nvGrpSpPr>
      <xdr:grpSpPr>
        <a:xfrm>
          <a:off x="3549743" y="454199"/>
          <a:ext cx="214434" cy="1438416"/>
          <a:chOff x="3552464" y="452838"/>
          <a:chExt cx="214434" cy="1441138"/>
        </a:xfrm>
      </xdr:grpSpPr>
      <xdr:pic>
        <xdr:nvPicPr>
          <xdr:cNvPr id="2" name="Graphic 4" descr="Employee badge outlin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65112" y="452838"/>
            <a:ext cx="189139" cy="198492"/>
          </a:xfrm>
          <a:prstGeom prst="rect">
            <a:avLst/>
          </a:prstGeom>
        </xdr:spPr>
      </xdr:pic>
      <xdr:pic>
        <xdr:nvPicPr>
          <xdr:cNvPr id="3" name="Graphic 1" descr="Email outlin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56437" y="780542"/>
            <a:ext cx="206489" cy="170146"/>
          </a:xfrm>
          <a:prstGeom prst="rect">
            <a:avLst/>
          </a:prstGeom>
        </xdr:spPr>
      </xdr:pic>
      <xdr:pic>
        <xdr:nvPicPr>
          <xdr:cNvPr id="4" name="Graphic 2" descr="Telephone outline">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559414" y="1072244"/>
            <a:ext cx="200535" cy="208800"/>
          </a:xfrm>
          <a:prstGeom prst="rect">
            <a:avLst/>
          </a:prstGeom>
        </xdr:spPr>
      </xdr:pic>
      <xdr:pic>
        <xdr:nvPicPr>
          <xdr:cNvPr id="5" name="Graphic 3" descr="Briefcase outline">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59059" y="1387278"/>
            <a:ext cx="201244" cy="186800"/>
          </a:xfrm>
          <a:prstGeom prst="rect">
            <a:avLst/>
          </a:prstGeom>
        </xdr:spPr>
      </xdr:pic>
      <xdr:pic>
        <xdr:nvPicPr>
          <xdr:cNvPr id="6" name="Graphic 3" descr="Help">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52464" y="1681006"/>
            <a:ext cx="214434" cy="212970"/>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14</xdr:col>
          <xdr:colOff>85725</xdr:colOff>
          <xdr:row>15</xdr:row>
          <xdr:rowOff>180975</xdr:rowOff>
        </xdr:from>
        <xdr:to>
          <xdr:col>15</xdr:col>
          <xdr:colOff>85725</xdr:colOff>
          <xdr:row>17</xdr:row>
          <xdr:rowOff>28575</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800-00000B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16</xdr:row>
          <xdr:rowOff>371475</xdr:rowOff>
        </xdr:from>
        <xdr:to>
          <xdr:col>15</xdr:col>
          <xdr:colOff>85725</xdr:colOff>
          <xdr:row>18</xdr:row>
          <xdr:rowOff>9525</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800-00000C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17</xdr:row>
          <xdr:rowOff>371475</xdr:rowOff>
        </xdr:from>
        <xdr:to>
          <xdr:col>15</xdr:col>
          <xdr:colOff>85725</xdr:colOff>
          <xdr:row>19</xdr:row>
          <xdr:rowOff>28575</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800-00000D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371475</xdr:rowOff>
        </xdr:from>
        <xdr:to>
          <xdr:col>15</xdr:col>
          <xdr:colOff>85725</xdr:colOff>
          <xdr:row>20</xdr:row>
          <xdr:rowOff>28575</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800-00000E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20</xdr:row>
          <xdr:rowOff>9525</xdr:rowOff>
        </xdr:from>
        <xdr:to>
          <xdr:col>15</xdr:col>
          <xdr:colOff>85725</xdr:colOff>
          <xdr:row>21</xdr:row>
          <xdr:rowOff>47625</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800-00000F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21</xdr:row>
          <xdr:rowOff>28575</xdr:rowOff>
        </xdr:from>
        <xdr:to>
          <xdr:col>15</xdr:col>
          <xdr:colOff>85725</xdr:colOff>
          <xdr:row>22</xdr:row>
          <xdr:rowOff>38100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800-000023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22</xdr:row>
          <xdr:rowOff>9525</xdr:rowOff>
        </xdr:from>
        <xdr:to>
          <xdr:col>15</xdr:col>
          <xdr:colOff>85725</xdr:colOff>
          <xdr:row>23</xdr:row>
          <xdr:rowOff>28575</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800-000024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23</xdr:row>
          <xdr:rowOff>9525</xdr:rowOff>
        </xdr:from>
        <xdr:to>
          <xdr:col>15</xdr:col>
          <xdr:colOff>85725</xdr:colOff>
          <xdr:row>24</xdr:row>
          <xdr:rowOff>28575</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800-000025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23</xdr:row>
          <xdr:rowOff>371475</xdr:rowOff>
        </xdr:from>
        <xdr:to>
          <xdr:col>15</xdr:col>
          <xdr:colOff>85725</xdr:colOff>
          <xdr:row>25</xdr:row>
          <xdr:rowOff>9525</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800-000026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25</xdr:row>
          <xdr:rowOff>85725</xdr:rowOff>
        </xdr:from>
        <xdr:to>
          <xdr:col>15</xdr:col>
          <xdr:colOff>85725</xdr:colOff>
          <xdr:row>26</xdr:row>
          <xdr:rowOff>66675</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800-000027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15</xdr:row>
          <xdr:rowOff>189999</xdr:rowOff>
        </xdr:from>
        <xdr:to>
          <xdr:col>13</xdr:col>
          <xdr:colOff>562749</xdr:colOff>
          <xdr:row>17</xdr:row>
          <xdr:rowOff>99</xdr:rowOff>
        </xdr:to>
        <xdr:grpSp>
          <xdr:nvGrpSpPr>
            <xdr:cNvPr id="7" name="Gruppieren 6">
              <a:extLst>
                <a:ext uri="{FF2B5EF4-FFF2-40B4-BE49-F238E27FC236}">
                  <a16:creationId xmlns:a16="http://schemas.microsoft.com/office/drawing/2014/main" id="{00000000-0008-0000-0800-000007000000}"/>
                </a:ext>
              </a:extLst>
            </xdr:cNvPr>
            <xdr:cNvGrpSpPr/>
          </xdr:nvGrpSpPr>
          <xdr:grpSpPr>
            <a:xfrm>
              <a:off x="4082274" y="2437899"/>
              <a:ext cx="1519200" cy="381600"/>
              <a:chOff x="4079306" y="2430881"/>
              <a:chExt cx="1521706" cy="381600"/>
            </a:xfrm>
          </xdr:grpSpPr>
          <xdr:sp macro="" textlink="">
            <xdr:nvSpPr>
              <xdr:cNvPr id="11304" name="Option Button 40" hidden="1">
                <a:extLst>
                  <a:ext uri="{63B3BB69-23CF-44E3-9099-C40C66FF867C}">
                    <a14:compatExt spid="_x0000_s11304"/>
                  </a:ext>
                  <a:ext uri="{FF2B5EF4-FFF2-40B4-BE49-F238E27FC236}">
                    <a16:creationId xmlns:a16="http://schemas.microsoft.com/office/drawing/2014/main" id="{00000000-0008-0000-0800-0000282C0000}"/>
                  </a:ext>
                </a:extLst>
              </xdr:cNvPr>
              <xdr:cNvSpPr/>
            </xdr:nvSpPr>
            <xdr:spPr bwMode="auto">
              <a:xfrm>
                <a:off x="4215502" y="2508773"/>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05" name="Option Button 41" hidden="1">
                <a:extLst>
                  <a:ext uri="{63B3BB69-23CF-44E3-9099-C40C66FF867C}">
                    <a14:compatExt spid="_x0000_s11305"/>
                  </a:ext>
                  <a:ext uri="{FF2B5EF4-FFF2-40B4-BE49-F238E27FC236}">
                    <a16:creationId xmlns:a16="http://schemas.microsoft.com/office/drawing/2014/main" id="{00000000-0008-0000-0800-0000292C0000}"/>
                  </a:ext>
                </a:extLst>
              </xdr:cNvPr>
              <xdr:cNvSpPr/>
            </xdr:nvSpPr>
            <xdr:spPr bwMode="auto">
              <a:xfrm>
                <a:off x="4682792" y="2508773"/>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06" name="Option Button 42" hidden="1">
                <a:extLst>
                  <a:ext uri="{63B3BB69-23CF-44E3-9099-C40C66FF867C}">
                    <a14:compatExt spid="_x0000_s11306"/>
                  </a:ext>
                  <a:ext uri="{FF2B5EF4-FFF2-40B4-BE49-F238E27FC236}">
                    <a16:creationId xmlns:a16="http://schemas.microsoft.com/office/drawing/2014/main" id="{00000000-0008-0000-0800-00002A2C0000}"/>
                  </a:ext>
                </a:extLst>
              </xdr:cNvPr>
              <xdr:cNvSpPr/>
            </xdr:nvSpPr>
            <xdr:spPr bwMode="auto">
              <a:xfrm>
                <a:off x="5216192" y="2508773"/>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4" name="Group Box 70" hidden="1">
                <a:extLst>
                  <a:ext uri="{63B3BB69-23CF-44E3-9099-C40C66FF867C}">
                    <a14:compatExt spid="_x0000_s11334"/>
                  </a:ext>
                  <a:ext uri="{FF2B5EF4-FFF2-40B4-BE49-F238E27FC236}">
                    <a16:creationId xmlns:a16="http://schemas.microsoft.com/office/drawing/2014/main" id="{00000000-0008-0000-0800-0000462C0000}"/>
                  </a:ext>
                </a:extLst>
              </xdr:cNvPr>
              <xdr:cNvSpPr/>
            </xdr:nvSpPr>
            <xdr:spPr bwMode="auto">
              <a:xfrm>
                <a:off x="4079306" y="2430881"/>
                <a:ext cx="1521706"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17</xdr:row>
          <xdr:rowOff>697</xdr:rowOff>
        </xdr:from>
        <xdr:to>
          <xdr:col>13</xdr:col>
          <xdr:colOff>564141</xdr:colOff>
          <xdr:row>18</xdr:row>
          <xdr:rowOff>1297</xdr:rowOff>
        </xdr:to>
        <xdr:grpSp>
          <xdr:nvGrpSpPr>
            <xdr:cNvPr id="8" name="Gruppieren 7">
              <a:extLst>
                <a:ext uri="{FF2B5EF4-FFF2-40B4-BE49-F238E27FC236}">
                  <a16:creationId xmlns:a16="http://schemas.microsoft.com/office/drawing/2014/main" id="{00000000-0008-0000-0800-000008000000}"/>
                </a:ext>
              </a:extLst>
            </xdr:cNvPr>
            <xdr:cNvGrpSpPr/>
          </xdr:nvGrpSpPr>
          <xdr:grpSpPr>
            <a:xfrm>
              <a:off x="4082274" y="2820097"/>
              <a:ext cx="1520592" cy="381600"/>
              <a:chOff x="4079281" y="2813079"/>
              <a:chExt cx="1523099" cy="381600"/>
            </a:xfrm>
          </xdr:grpSpPr>
          <xdr:sp macro="" textlink="">
            <xdr:nvSpPr>
              <xdr:cNvPr id="11307" name="Option Button 43" hidden="1">
                <a:extLst>
                  <a:ext uri="{63B3BB69-23CF-44E3-9099-C40C66FF867C}">
                    <a14:compatExt spid="_x0000_s11307"/>
                  </a:ext>
                  <a:ext uri="{FF2B5EF4-FFF2-40B4-BE49-F238E27FC236}">
                    <a16:creationId xmlns:a16="http://schemas.microsoft.com/office/drawing/2014/main" id="{00000000-0008-0000-0800-00002B2C0000}"/>
                  </a:ext>
                </a:extLst>
              </xdr:cNvPr>
              <xdr:cNvSpPr/>
            </xdr:nvSpPr>
            <xdr:spPr bwMode="auto">
              <a:xfrm>
                <a:off x="4215502" y="289282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08" name="Option Button 44" hidden="1">
                <a:extLst>
                  <a:ext uri="{63B3BB69-23CF-44E3-9099-C40C66FF867C}">
                    <a14:compatExt spid="_x0000_s11308"/>
                  </a:ext>
                  <a:ext uri="{FF2B5EF4-FFF2-40B4-BE49-F238E27FC236}">
                    <a16:creationId xmlns:a16="http://schemas.microsoft.com/office/drawing/2014/main" id="{00000000-0008-0000-0800-00002C2C0000}"/>
                  </a:ext>
                </a:extLst>
              </xdr:cNvPr>
              <xdr:cNvSpPr/>
            </xdr:nvSpPr>
            <xdr:spPr bwMode="auto">
              <a:xfrm>
                <a:off x="4682792" y="289282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09" name="Option Button 45" hidden="1">
                <a:extLst>
                  <a:ext uri="{63B3BB69-23CF-44E3-9099-C40C66FF867C}">
                    <a14:compatExt spid="_x0000_s11309"/>
                  </a:ext>
                  <a:ext uri="{FF2B5EF4-FFF2-40B4-BE49-F238E27FC236}">
                    <a16:creationId xmlns:a16="http://schemas.microsoft.com/office/drawing/2014/main" id="{00000000-0008-0000-0800-00002D2C0000}"/>
                  </a:ext>
                </a:extLst>
              </xdr:cNvPr>
              <xdr:cNvSpPr/>
            </xdr:nvSpPr>
            <xdr:spPr bwMode="auto">
              <a:xfrm>
                <a:off x="5216192" y="289282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5" name="Group Box 71" hidden="1">
                <a:extLst>
                  <a:ext uri="{63B3BB69-23CF-44E3-9099-C40C66FF867C}">
                    <a14:compatExt spid="_x0000_s11335"/>
                  </a:ext>
                  <a:ext uri="{FF2B5EF4-FFF2-40B4-BE49-F238E27FC236}">
                    <a16:creationId xmlns:a16="http://schemas.microsoft.com/office/drawing/2014/main" id="{00000000-0008-0000-0800-0000472C0000}"/>
                  </a:ext>
                </a:extLst>
              </xdr:cNvPr>
              <xdr:cNvSpPr/>
            </xdr:nvSpPr>
            <xdr:spPr bwMode="auto">
              <a:xfrm>
                <a:off x="4079281" y="2813079"/>
                <a:ext cx="1523099"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18</xdr:row>
          <xdr:rowOff>697</xdr:rowOff>
        </xdr:from>
        <xdr:to>
          <xdr:col>13</xdr:col>
          <xdr:colOff>565302</xdr:colOff>
          <xdr:row>19</xdr:row>
          <xdr:rowOff>1297</xdr:rowOff>
        </xdr:to>
        <xdr:grpSp>
          <xdr:nvGrpSpPr>
            <xdr:cNvPr id="9" name="Gruppieren 8">
              <a:extLst>
                <a:ext uri="{FF2B5EF4-FFF2-40B4-BE49-F238E27FC236}">
                  <a16:creationId xmlns:a16="http://schemas.microsoft.com/office/drawing/2014/main" id="{00000000-0008-0000-0800-000009000000}"/>
                </a:ext>
              </a:extLst>
            </xdr:cNvPr>
            <xdr:cNvGrpSpPr/>
          </xdr:nvGrpSpPr>
          <xdr:grpSpPr>
            <a:xfrm>
              <a:off x="4082274" y="3201097"/>
              <a:ext cx="1521753" cy="381600"/>
              <a:chOff x="4079256" y="3194079"/>
              <a:chExt cx="1524260" cy="381600"/>
            </a:xfrm>
          </xdr:grpSpPr>
          <xdr:sp macro="" textlink="">
            <xdr:nvSpPr>
              <xdr:cNvPr id="11310" name="Option Button 46" hidden="1">
                <a:extLst>
                  <a:ext uri="{63B3BB69-23CF-44E3-9099-C40C66FF867C}">
                    <a14:compatExt spid="_x0000_s11310"/>
                  </a:ext>
                  <a:ext uri="{FF2B5EF4-FFF2-40B4-BE49-F238E27FC236}">
                    <a16:creationId xmlns:a16="http://schemas.microsoft.com/office/drawing/2014/main" id="{00000000-0008-0000-0800-00002E2C0000}"/>
                  </a:ext>
                </a:extLst>
              </xdr:cNvPr>
              <xdr:cNvSpPr/>
            </xdr:nvSpPr>
            <xdr:spPr bwMode="auto">
              <a:xfrm>
                <a:off x="4215502" y="3276867"/>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1" name="Option Button 47" hidden="1">
                <a:extLst>
                  <a:ext uri="{63B3BB69-23CF-44E3-9099-C40C66FF867C}">
                    <a14:compatExt spid="_x0000_s11311"/>
                  </a:ext>
                  <a:ext uri="{FF2B5EF4-FFF2-40B4-BE49-F238E27FC236}">
                    <a16:creationId xmlns:a16="http://schemas.microsoft.com/office/drawing/2014/main" id="{00000000-0008-0000-0800-00002F2C0000}"/>
                  </a:ext>
                </a:extLst>
              </xdr:cNvPr>
              <xdr:cNvSpPr/>
            </xdr:nvSpPr>
            <xdr:spPr bwMode="auto">
              <a:xfrm>
                <a:off x="4682792" y="3276867"/>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2" name="Option Button 48" hidden="1">
                <a:extLst>
                  <a:ext uri="{63B3BB69-23CF-44E3-9099-C40C66FF867C}">
                    <a14:compatExt spid="_x0000_s11312"/>
                  </a:ext>
                  <a:ext uri="{FF2B5EF4-FFF2-40B4-BE49-F238E27FC236}">
                    <a16:creationId xmlns:a16="http://schemas.microsoft.com/office/drawing/2014/main" id="{00000000-0008-0000-0800-0000302C0000}"/>
                  </a:ext>
                </a:extLst>
              </xdr:cNvPr>
              <xdr:cNvSpPr/>
            </xdr:nvSpPr>
            <xdr:spPr bwMode="auto">
              <a:xfrm>
                <a:off x="5216192" y="3276867"/>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6" name="Group Box 72" hidden="1">
                <a:extLst>
                  <a:ext uri="{63B3BB69-23CF-44E3-9099-C40C66FF867C}">
                    <a14:compatExt spid="_x0000_s11336"/>
                  </a:ext>
                  <a:ext uri="{FF2B5EF4-FFF2-40B4-BE49-F238E27FC236}">
                    <a16:creationId xmlns:a16="http://schemas.microsoft.com/office/drawing/2014/main" id="{00000000-0008-0000-0800-0000482C0000}"/>
                  </a:ext>
                </a:extLst>
              </xdr:cNvPr>
              <xdr:cNvSpPr/>
            </xdr:nvSpPr>
            <xdr:spPr bwMode="auto">
              <a:xfrm>
                <a:off x="4079256" y="3194079"/>
                <a:ext cx="1524260"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19</xdr:row>
          <xdr:rowOff>233</xdr:rowOff>
        </xdr:from>
        <xdr:to>
          <xdr:col>13</xdr:col>
          <xdr:colOff>565302</xdr:colOff>
          <xdr:row>20</xdr:row>
          <xdr:rowOff>833</xdr:rowOff>
        </xdr:to>
        <xdr:grpSp>
          <xdr:nvGrpSpPr>
            <xdr:cNvPr id="10" name="Gruppieren 9">
              <a:extLst>
                <a:ext uri="{FF2B5EF4-FFF2-40B4-BE49-F238E27FC236}">
                  <a16:creationId xmlns:a16="http://schemas.microsoft.com/office/drawing/2014/main" id="{00000000-0008-0000-0800-00000A000000}"/>
                </a:ext>
              </a:extLst>
            </xdr:cNvPr>
            <xdr:cNvGrpSpPr/>
          </xdr:nvGrpSpPr>
          <xdr:grpSpPr>
            <a:xfrm>
              <a:off x="4082274" y="3581633"/>
              <a:ext cx="1521753" cy="381600"/>
              <a:chOff x="4079256" y="3574615"/>
              <a:chExt cx="1524260" cy="381600"/>
            </a:xfrm>
          </xdr:grpSpPr>
          <xdr:sp macro="" textlink="">
            <xdr:nvSpPr>
              <xdr:cNvPr id="11313" name="Option Button 49" hidden="1">
                <a:extLst>
                  <a:ext uri="{63B3BB69-23CF-44E3-9099-C40C66FF867C}">
                    <a14:compatExt spid="_x0000_s11313"/>
                  </a:ext>
                  <a:ext uri="{FF2B5EF4-FFF2-40B4-BE49-F238E27FC236}">
                    <a16:creationId xmlns:a16="http://schemas.microsoft.com/office/drawing/2014/main" id="{00000000-0008-0000-0800-0000312C0000}"/>
                  </a:ext>
                </a:extLst>
              </xdr:cNvPr>
              <xdr:cNvSpPr/>
            </xdr:nvSpPr>
            <xdr:spPr bwMode="auto">
              <a:xfrm>
                <a:off x="4215502" y="3660914"/>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4" name="Option Button 50" hidden="1">
                <a:extLst>
                  <a:ext uri="{63B3BB69-23CF-44E3-9099-C40C66FF867C}">
                    <a14:compatExt spid="_x0000_s11314"/>
                  </a:ext>
                  <a:ext uri="{FF2B5EF4-FFF2-40B4-BE49-F238E27FC236}">
                    <a16:creationId xmlns:a16="http://schemas.microsoft.com/office/drawing/2014/main" id="{00000000-0008-0000-0800-0000322C0000}"/>
                  </a:ext>
                </a:extLst>
              </xdr:cNvPr>
              <xdr:cNvSpPr/>
            </xdr:nvSpPr>
            <xdr:spPr bwMode="auto">
              <a:xfrm>
                <a:off x="4682792" y="3660914"/>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5" name="Option Button 51" hidden="1">
                <a:extLst>
                  <a:ext uri="{63B3BB69-23CF-44E3-9099-C40C66FF867C}">
                    <a14:compatExt spid="_x0000_s11315"/>
                  </a:ext>
                  <a:ext uri="{FF2B5EF4-FFF2-40B4-BE49-F238E27FC236}">
                    <a16:creationId xmlns:a16="http://schemas.microsoft.com/office/drawing/2014/main" id="{00000000-0008-0000-0800-0000332C0000}"/>
                  </a:ext>
                </a:extLst>
              </xdr:cNvPr>
              <xdr:cNvSpPr/>
            </xdr:nvSpPr>
            <xdr:spPr bwMode="auto">
              <a:xfrm>
                <a:off x="5216192" y="3660914"/>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7" name="Group Box 73" hidden="1">
                <a:extLst>
                  <a:ext uri="{63B3BB69-23CF-44E3-9099-C40C66FF867C}">
                    <a14:compatExt spid="_x0000_s11337"/>
                  </a:ext>
                  <a:ext uri="{FF2B5EF4-FFF2-40B4-BE49-F238E27FC236}">
                    <a16:creationId xmlns:a16="http://schemas.microsoft.com/office/drawing/2014/main" id="{00000000-0008-0000-0800-0000492C0000}"/>
                  </a:ext>
                </a:extLst>
              </xdr:cNvPr>
              <xdr:cNvSpPr/>
            </xdr:nvSpPr>
            <xdr:spPr bwMode="auto">
              <a:xfrm>
                <a:off x="4079256" y="3574615"/>
                <a:ext cx="1524260"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20</xdr:row>
          <xdr:rowOff>929</xdr:rowOff>
        </xdr:from>
        <xdr:to>
          <xdr:col>13</xdr:col>
          <xdr:colOff>565302</xdr:colOff>
          <xdr:row>21</xdr:row>
          <xdr:rowOff>1529</xdr:rowOff>
        </xdr:to>
        <xdr:grpSp>
          <xdr:nvGrpSpPr>
            <xdr:cNvPr id="11" name="Gruppieren 10">
              <a:extLst>
                <a:ext uri="{FF2B5EF4-FFF2-40B4-BE49-F238E27FC236}">
                  <a16:creationId xmlns:a16="http://schemas.microsoft.com/office/drawing/2014/main" id="{00000000-0008-0000-0800-00000B000000}"/>
                </a:ext>
              </a:extLst>
            </xdr:cNvPr>
            <xdr:cNvGrpSpPr/>
          </xdr:nvGrpSpPr>
          <xdr:grpSpPr>
            <a:xfrm>
              <a:off x="4082274" y="3963329"/>
              <a:ext cx="1521753" cy="381600"/>
              <a:chOff x="4079256" y="3956311"/>
              <a:chExt cx="1524260" cy="381600"/>
            </a:xfrm>
          </xdr:grpSpPr>
          <xdr:sp macro="" textlink="">
            <xdr:nvSpPr>
              <xdr:cNvPr id="11316" name="Option Button 52" hidden="1">
                <a:extLst>
                  <a:ext uri="{63B3BB69-23CF-44E3-9099-C40C66FF867C}">
                    <a14:compatExt spid="_x0000_s11316"/>
                  </a:ext>
                  <a:ext uri="{FF2B5EF4-FFF2-40B4-BE49-F238E27FC236}">
                    <a16:creationId xmlns:a16="http://schemas.microsoft.com/office/drawing/2014/main" id="{00000000-0008-0000-0800-0000342C0000}"/>
                  </a:ext>
                </a:extLst>
              </xdr:cNvPr>
              <xdr:cNvSpPr/>
            </xdr:nvSpPr>
            <xdr:spPr bwMode="auto">
              <a:xfrm>
                <a:off x="4215502" y="4044961"/>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7" name="Option Button 53" hidden="1">
                <a:extLst>
                  <a:ext uri="{63B3BB69-23CF-44E3-9099-C40C66FF867C}">
                    <a14:compatExt spid="_x0000_s11317"/>
                  </a:ext>
                  <a:ext uri="{FF2B5EF4-FFF2-40B4-BE49-F238E27FC236}">
                    <a16:creationId xmlns:a16="http://schemas.microsoft.com/office/drawing/2014/main" id="{00000000-0008-0000-0800-0000352C0000}"/>
                  </a:ext>
                </a:extLst>
              </xdr:cNvPr>
              <xdr:cNvSpPr/>
            </xdr:nvSpPr>
            <xdr:spPr bwMode="auto">
              <a:xfrm>
                <a:off x="4682792" y="4044961"/>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18" name="Option Button 54" hidden="1">
                <a:extLst>
                  <a:ext uri="{63B3BB69-23CF-44E3-9099-C40C66FF867C}">
                    <a14:compatExt spid="_x0000_s11318"/>
                  </a:ext>
                  <a:ext uri="{FF2B5EF4-FFF2-40B4-BE49-F238E27FC236}">
                    <a16:creationId xmlns:a16="http://schemas.microsoft.com/office/drawing/2014/main" id="{00000000-0008-0000-0800-0000362C0000}"/>
                  </a:ext>
                </a:extLst>
              </xdr:cNvPr>
              <xdr:cNvSpPr/>
            </xdr:nvSpPr>
            <xdr:spPr bwMode="auto">
              <a:xfrm>
                <a:off x="5216192" y="4044961"/>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8" name="Group Box 74" hidden="1">
                <a:extLst>
                  <a:ext uri="{63B3BB69-23CF-44E3-9099-C40C66FF867C}">
                    <a14:compatExt spid="_x0000_s11338"/>
                  </a:ext>
                  <a:ext uri="{FF2B5EF4-FFF2-40B4-BE49-F238E27FC236}">
                    <a16:creationId xmlns:a16="http://schemas.microsoft.com/office/drawing/2014/main" id="{00000000-0008-0000-0800-00004A2C0000}"/>
                  </a:ext>
                </a:extLst>
              </xdr:cNvPr>
              <xdr:cNvSpPr/>
            </xdr:nvSpPr>
            <xdr:spPr bwMode="auto">
              <a:xfrm>
                <a:off x="4079256" y="3956311"/>
                <a:ext cx="1524260"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21</xdr:row>
          <xdr:rowOff>0</xdr:rowOff>
        </xdr:from>
        <xdr:to>
          <xdr:col>13</xdr:col>
          <xdr:colOff>565302</xdr:colOff>
          <xdr:row>22</xdr:row>
          <xdr:rowOff>600</xdr:rowOff>
        </xdr:to>
        <xdr:grpSp>
          <xdr:nvGrpSpPr>
            <xdr:cNvPr id="12" name="Gruppieren 11">
              <a:extLst>
                <a:ext uri="{FF2B5EF4-FFF2-40B4-BE49-F238E27FC236}">
                  <a16:creationId xmlns:a16="http://schemas.microsoft.com/office/drawing/2014/main" id="{00000000-0008-0000-0800-00000C000000}"/>
                </a:ext>
              </a:extLst>
            </xdr:cNvPr>
            <xdr:cNvGrpSpPr/>
          </xdr:nvGrpSpPr>
          <xdr:grpSpPr>
            <a:xfrm>
              <a:off x="4082274" y="4343400"/>
              <a:ext cx="1521753" cy="381600"/>
              <a:chOff x="4079256" y="4336382"/>
              <a:chExt cx="1524260" cy="381600"/>
            </a:xfrm>
          </xdr:grpSpPr>
          <xdr:sp macro="" textlink="">
            <xdr:nvSpPr>
              <xdr:cNvPr id="11319" name="Option Button 55" hidden="1">
                <a:extLst>
                  <a:ext uri="{63B3BB69-23CF-44E3-9099-C40C66FF867C}">
                    <a14:compatExt spid="_x0000_s11319"/>
                  </a:ext>
                  <a:ext uri="{FF2B5EF4-FFF2-40B4-BE49-F238E27FC236}">
                    <a16:creationId xmlns:a16="http://schemas.microsoft.com/office/drawing/2014/main" id="{00000000-0008-0000-0800-0000372C0000}"/>
                  </a:ext>
                </a:extLst>
              </xdr:cNvPr>
              <xdr:cNvSpPr/>
            </xdr:nvSpPr>
            <xdr:spPr bwMode="auto">
              <a:xfrm>
                <a:off x="4215502" y="4429008"/>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0" name="Option Button 56" hidden="1">
                <a:extLst>
                  <a:ext uri="{63B3BB69-23CF-44E3-9099-C40C66FF867C}">
                    <a14:compatExt spid="_x0000_s11320"/>
                  </a:ext>
                  <a:ext uri="{FF2B5EF4-FFF2-40B4-BE49-F238E27FC236}">
                    <a16:creationId xmlns:a16="http://schemas.microsoft.com/office/drawing/2014/main" id="{00000000-0008-0000-0800-0000382C0000}"/>
                  </a:ext>
                </a:extLst>
              </xdr:cNvPr>
              <xdr:cNvSpPr/>
            </xdr:nvSpPr>
            <xdr:spPr bwMode="auto">
              <a:xfrm>
                <a:off x="4682792" y="4429008"/>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1" name="Option Button 57" hidden="1">
                <a:extLst>
                  <a:ext uri="{63B3BB69-23CF-44E3-9099-C40C66FF867C}">
                    <a14:compatExt spid="_x0000_s11321"/>
                  </a:ext>
                  <a:ext uri="{FF2B5EF4-FFF2-40B4-BE49-F238E27FC236}">
                    <a16:creationId xmlns:a16="http://schemas.microsoft.com/office/drawing/2014/main" id="{00000000-0008-0000-0800-0000392C0000}"/>
                  </a:ext>
                </a:extLst>
              </xdr:cNvPr>
              <xdr:cNvSpPr/>
            </xdr:nvSpPr>
            <xdr:spPr bwMode="auto">
              <a:xfrm>
                <a:off x="5216192" y="4429008"/>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9" name="Group Box 75" hidden="1">
                <a:extLst>
                  <a:ext uri="{63B3BB69-23CF-44E3-9099-C40C66FF867C}">
                    <a14:compatExt spid="_x0000_s11339"/>
                  </a:ext>
                  <a:ext uri="{FF2B5EF4-FFF2-40B4-BE49-F238E27FC236}">
                    <a16:creationId xmlns:a16="http://schemas.microsoft.com/office/drawing/2014/main" id="{00000000-0008-0000-0800-00004B2C0000}"/>
                  </a:ext>
                </a:extLst>
              </xdr:cNvPr>
              <xdr:cNvSpPr/>
            </xdr:nvSpPr>
            <xdr:spPr bwMode="auto">
              <a:xfrm>
                <a:off x="4079256" y="4336382"/>
                <a:ext cx="1524260"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22</xdr:row>
          <xdr:rowOff>1627</xdr:rowOff>
        </xdr:from>
        <xdr:to>
          <xdr:col>13</xdr:col>
          <xdr:colOff>565302</xdr:colOff>
          <xdr:row>23</xdr:row>
          <xdr:rowOff>2227</xdr:rowOff>
        </xdr:to>
        <xdr:grpSp>
          <xdr:nvGrpSpPr>
            <xdr:cNvPr id="13" name="Gruppieren 12">
              <a:extLst>
                <a:ext uri="{FF2B5EF4-FFF2-40B4-BE49-F238E27FC236}">
                  <a16:creationId xmlns:a16="http://schemas.microsoft.com/office/drawing/2014/main" id="{00000000-0008-0000-0800-00000D000000}"/>
                </a:ext>
              </a:extLst>
            </xdr:cNvPr>
            <xdr:cNvGrpSpPr/>
          </xdr:nvGrpSpPr>
          <xdr:grpSpPr>
            <a:xfrm>
              <a:off x="4082274" y="4726027"/>
              <a:ext cx="1521753" cy="381600"/>
              <a:chOff x="4079256" y="4719009"/>
              <a:chExt cx="1524260" cy="381600"/>
            </a:xfrm>
          </xdr:grpSpPr>
          <xdr:sp macro="" textlink="">
            <xdr:nvSpPr>
              <xdr:cNvPr id="11322" name="Option Button 58" hidden="1">
                <a:extLst>
                  <a:ext uri="{63B3BB69-23CF-44E3-9099-C40C66FF867C}">
                    <a14:compatExt spid="_x0000_s11322"/>
                  </a:ext>
                  <a:ext uri="{FF2B5EF4-FFF2-40B4-BE49-F238E27FC236}">
                    <a16:creationId xmlns:a16="http://schemas.microsoft.com/office/drawing/2014/main" id="{00000000-0008-0000-0800-00003A2C0000}"/>
                  </a:ext>
                </a:extLst>
              </xdr:cNvPr>
              <xdr:cNvSpPr/>
            </xdr:nvSpPr>
            <xdr:spPr bwMode="auto">
              <a:xfrm>
                <a:off x="4215502" y="4813055"/>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3" name="Option Button 59" hidden="1">
                <a:extLst>
                  <a:ext uri="{63B3BB69-23CF-44E3-9099-C40C66FF867C}">
                    <a14:compatExt spid="_x0000_s11323"/>
                  </a:ext>
                  <a:ext uri="{FF2B5EF4-FFF2-40B4-BE49-F238E27FC236}">
                    <a16:creationId xmlns:a16="http://schemas.microsoft.com/office/drawing/2014/main" id="{00000000-0008-0000-0800-00003B2C0000}"/>
                  </a:ext>
                </a:extLst>
              </xdr:cNvPr>
              <xdr:cNvSpPr/>
            </xdr:nvSpPr>
            <xdr:spPr bwMode="auto">
              <a:xfrm>
                <a:off x="4682792" y="4813055"/>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4" name="Option Button 60" hidden="1">
                <a:extLst>
                  <a:ext uri="{63B3BB69-23CF-44E3-9099-C40C66FF867C}">
                    <a14:compatExt spid="_x0000_s11324"/>
                  </a:ext>
                  <a:ext uri="{FF2B5EF4-FFF2-40B4-BE49-F238E27FC236}">
                    <a16:creationId xmlns:a16="http://schemas.microsoft.com/office/drawing/2014/main" id="{00000000-0008-0000-0800-00003C2C0000}"/>
                  </a:ext>
                </a:extLst>
              </xdr:cNvPr>
              <xdr:cNvSpPr/>
            </xdr:nvSpPr>
            <xdr:spPr bwMode="auto">
              <a:xfrm>
                <a:off x="5216192" y="4813055"/>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40" name="Group Box 76" hidden="1">
                <a:extLst>
                  <a:ext uri="{63B3BB69-23CF-44E3-9099-C40C66FF867C}">
                    <a14:compatExt spid="_x0000_s11340"/>
                  </a:ext>
                  <a:ext uri="{FF2B5EF4-FFF2-40B4-BE49-F238E27FC236}">
                    <a16:creationId xmlns:a16="http://schemas.microsoft.com/office/drawing/2014/main" id="{00000000-0008-0000-0800-00004C2C0000}"/>
                  </a:ext>
                </a:extLst>
              </xdr:cNvPr>
              <xdr:cNvSpPr/>
            </xdr:nvSpPr>
            <xdr:spPr bwMode="auto">
              <a:xfrm>
                <a:off x="4079256" y="4719009"/>
                <a:ext cx="1524260"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23</xdr:row>
          <xdr:rowOff>3594</xdr:rowOff>
        </xdr:from>
        <xdr:to>
          <xdr:col>13</xdr:col>
          <xdr:colOff>564141</xdr:colOff>
          <xdr:row>24</xdr:row>
          <xdr:rowOff>4194</xdr:rowOff>
        </xdr:to>
        <xdr:grpSp>
          <xdr:nvGrpSpPr>
            <xdr:cNvPr id="14" name="Gruppieren 13">
              <a:extLst>
                <a:ext uri="{FF2B5EF4-FFF2-40B4-BE49-F238E27FC236}">
                  <a16:creationId xmlns:a16="http://schemas.microsoft.com/office/drawing/2014/main" id="{00000000-0008-0000-0800-00000E000000}"/>
                </a:ext>
              </a:extLst>
            </xdr:cNvPr>
            <xdr:cNvGrpSpPr/>
          </xdr:nvGrpSpPr>
          <xdr:grpSpPr>
            <a:xfrm>
              <a:off x="4082274" y="5108994"/>
              <a:ext cx="1520592" cy="381600"/>
              <a:chOff x="4079281" y="5101976"/>
              <a:chExt cx="1523099" cy="381600"/>
            </a:xfrm>
          </xdr:grpSpPr>
          <xdr:sp macro="" textlink="">
            <xdr:nvSpPr>
              <xdr:cNvPr id="11325" name="Option Button 61" hidden="1">
                <a:extLst>
                  <a:ext uri="{63B3BB69-23CF-44E3-9099-C40C66FF867C}">
                    <a14:compatExt spid="_x0000_s11325"/>
                  </a:ext>
                  <a:ext uri="{FF2B5EF4-FFF2-40B4-BE49-F238E27FC236}">
                    <a16:creationId xmlns:a16="http://schemas.microsoft.com/office/drawing/2014/main" id="{00000000-0008-0000-0800-00003D2C0000}"/>
                  </a:ext>
                </a:extLst>
              </xdr:cNvPr>
              <xdr:cNvSpPr/>
            </xdr:nvSpPr>
            <xdr:spPr bwMode="auto">
              <a:xfrm>
                <a:off x="4215502" y="5197102"/>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6" name="Option Button 62" hidden="1">
                <a:extLst>
                  <a:ext uri="{63B3BB69-23CF-44E3-9099-C40C66FF867C}">
                    <a14:compatExt spid="_x0000_s11326"/>
                  </a:ext>
                  <a:ext uri="{FF2B5EF4-FFF2-40B4-BE49-F238E27FC236}">
                    <a16:creationId xmlns:a16="http://schemas.microsoft.com/office/drawing/2014/main" id="{00000000-0008-0000-0800-00003E2C0000}"/>
                  </a:ext>
                </a:extLst>
              </xdr:cNvPr>
              <xdr:cNvSpPr/>
            </xdr:nvSpPr>
            <xdr:spPr bwMode="auto">
              <a:xfrm>
                <a:off x="4682792" y="5197102"/>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7" name="Option Button 63" hidden="1">
                <a:extLst>
                  <a:ext uri="{63B3BB69-23CF-44E3-9099-C40C66FF867C}">
                    <a14:compatExt spid="_x0000_s11327"/>
                  </a:ext>
                  <a:ext uri="{FF2B5EF4-FFF2-40B4-BE49-F238E27FC236}">
                    <a16:creationId xmlns:a16="http://schemas.microsoft.com/office/drawing/2014/main" id="{00000000-0008-0000-0800-00003F2C0000}"/>
                  </a:ext>
                </a:extLst>
              </xdr:cNvPr>
              <xdr:cNvSpPr/>
            </xdr:nvSpPr>
            <xdr:spPr bwMode="auto">
              <a:xfrm>
                <a:off x="5216192" y="5197102"/>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41" name="Group Box 77" hidden="1">
                <a:extLst>
                  <a:ext uri="{63B3BB69-23CF-44E3-9099-C40C66FF867C}">
                    <a14:compatExt spid="_x0000_s11341"/>
                  </a:ext>
                  <a:ext uri="{FF2B5EF4-FFF2-40B4-BE49-F238E27FC236}">
                    <a16:creationId xmlns:a16="http://schemas.microsoft.com/office/drawing/2014/main" id="{00000000-0008-0000-0800-00004D2C0000}"/>
                  </a:ext>
                </a:extLst>
              </xdr:cNvPr>
              <xdr:cNvSpPr/>
            </xdr:nvSpPr>
            <xdr:spPr bwMode="auto">
              <a:xfrm>
                <a:off x="4079281" y="5101976"/>
                <a:ext cx="1523099"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329424</xdr:colOff>
          <xdr:row>24</xdr:row>
          <xdr:rowOff>1853</xdr:rowOff>
        </xdr:from>
        <xdr:to>
          <xdr:col>13</xdr:col>
          <xdr:colOff>564141</xdr:colOff>
          <xdr:row>25</xdr:row>
          <xdr:rowOff>2453</xdr:rowOff>
        </xdr:to>
        <xdr:grpSp>
          <xdr:nvGrpSpPr>
            <xdr:cNvPr id="15" name="Gruppieren 14">
              <a:extLst>
                <a:ext uri="{FF2B5EF4-FFF2-40B4-BE49-F238E27FC236}">
                  <a16:creationId xmlns:a16="http://schemas.microsoft.com/office/drawing/2014/main" id="{00000000-0008-0000-0800-00000F000000}"/>
                </a:ext>
              </a:extLst>
            </xdr:cNvPr>
            <xdr:cNvGrpSpPr/>
          </xdr:nvGrpSpPr>
          <xdr:grpSpPr>
            <a:xfrm>
              <a:off x="4082274" y="5488253"/>
              <a:ext cx="1520592" cy="381600"/>
              <a:chOff x="4079281" y="5480776"/>
              <a:chExt cx="1523099" cy="381600"/>
            </a:xfrm>
          </xdr:grpSpPr>
          <xdr:sp macro="" textlink="">
            <xdr:nvSpPr>
              <xdr:cNvPr id="11328" name="Option Button 64" hidden="1">
                <a:extLst>
                  <a:ext uri="{63B3BB69-23CF-44E3-9099-C40C66FF867C}">
                    <a14:compatExt spid="_x0000_s11328"/>
                  </a:ext>
                  <a:ext uri="{FF2B5EF4-FFF2-40B4-BE49-F238E27FC236}">
                    <a16:creationId xmlns:a16="http://schemas.microsoft.com/office/drawing/2014/main" id="{00000000-0008-0000-0800-0000402C0000}"/>
                  </a:ext>
                </a:extLst>
              </xdr:cNvPr>
              <xdr:cNvSpPr/>
            </xdr:nvSpPr>
            <xdr:spPr bwMode="auto">
              <a:xfrm>
                <a:off x="4215502" y="558115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29" name="Option Button 65" hidden="1">
                <a:extLst>
                  <a:ext uri="{63B3BB69-23CF-44E3-9099-C40C66FF867C}">
                    <a14:compatExt spid="_x0000_s11329"/>
                  </a:ext>
                  <a:ext uri="{FF2B5EF4-FFF2-40B4-BE49-F238E27FC236}">
                    <a16:creationId xmlns:a16="http://schemas.microsoft.com/office/drawing/2014/main" id="{00000000-0008-0000-0800-0000412C0000}"/>
                  </a:ext>
                </a:extLst>
              </xdr:cNvPr>
              <xdr:cNvSpPr/>
            </xdr:nvSpPr>
            <xdr:spPr bwMode="auto">
              <a:xfrm>
                <a:off x="4682792" y="558115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30" name="Option Button 66" hidden="1">
                <a:extLst>
                  <a:ext uri="{63B3BB69-23CF-44E3-9099-C40C66FF867C}">
                    <a14:compatExt spid="_x0000_s11330"/>
                  </a:ext>
                  <a:ext uri="{FF2B5EF4-FFF2-40B4-BE49-F238E27FC236}">
                    <a16:creationId xmlns:a16="http://schemas.microsoft.com/office/drawing/2014/main" id="{00000000-0008-0000-0800-0000422C0000}"/>
                  </a:ext>
                </a:extLst>
              </xdr:cNvPr>
              <xdr:cNvSpPr/>
            </xdr:nvSpPr>
            <xdr:spPr bwMode="auto">
              <a:xfrm>
                <a:off x="5216192" y="5581150"/>
                <a:ext cx="3048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1342" name="Group Box 78" hidden="1">
                <a:extLst>
                  <a:ext uri="{63B3BB69-23CF-44E3-9099-C40C66FF867C}">
                    <a14:compatExt spid="_x0000_s11342"/>
                  </a:ext>
                  <a:ext uri="{FF2B5EF4-FFF2-40B4-BE49-F238E27FC236}">
                    <a16:creationId xmlns:a16="http://schemas.microsoft.com/office/drawing/2014/main" id="{00000000-0008-0000-0800-00004E2C0000}"/>
                  </a:ext>
                </a:extLst>
              </xdr:cNvPr>
              <xdr:cNvSpPr/>
            </xdr:nvSpPr>
            <xdr:spPr bwMode="auto">
              <a:xfrm>
                <a:off x="4079281" y="5480776"/>
                <a:ext cx="1523099" cy="381600"/>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twoCellAnchor>
    <xdr:from>
      <xdr:col>10</xdr:col>
      <xdr:colOff>329424</xdr:colOff>
      <xdr:row>25</xdr:row>
      <xdr:rowOff>2431</xdr:rowOff>
    </xdr:from>
    <xdr:to>
      <xdr:col>12</xdr:col>
      <xdr:colOff>473724</xdr:colOff>
      <xdr:row>25</xdr:row>
      <xdr:rowOff>427231</xdr:rowOff>
    </xdr:to>
    <xdr:grpSp>
      <xdr:nvGrpSpPr>
        <xdr:cNvPr id="16" name="Gruppieren 15">
          <a:extLst>
            <a:ext uri="{FF2B5EF4-FFF2-40B4-BE49-F238E27FC236}">
              <a16:creationId xmlns:a16="http://schemas.microsoft.com/office/drawing/2014/main" id="{00000000-0008-0000-0800-000010000000}"/>
            </a:ext>
          </a:extLst>
        </xdr:cNvPr>
        <xdr:cNvGrpSpPr/>
      </xdr:nvGrpSpPr>
      <xdr:grpSpPr>
        <a:xfrm>
          <a:off x="4082274" y="5869831"/>
          <a:ext cx="953925" cy="424800"/>
          <a:chOff x="4079290" y="5862813"/>
          <a:chExt cx="956432" cy="424800"/>
        </a:xfrm>
      </xdr:grpSpPr>
      <xdr:sp macro="" textlink="">
        <xdr:nvSpPr>
          <xdr:cNvPr id="11331" name="Option Button 67" hidden="1">
            <a:extLst>
              <a:ext uri="{63B3BB69-23CF-44E3-9099-C40C66FF867C}">
                <a14:compatExt xmlns:a14="http://schemas.microsoft.com/office/drawing/2010/main" spid="_x0000_s11331"/>
              </a:ext>
              <a:ext uri="{FF2B5EF4-FFF2-40B4-BE49-F238E27FC236}">
                <a16:creationId xmlns:a16="http://schemas.microsoft.com/office/drawing/2014/main" id="{00000000-0008-0000-0800-0000432C0000}"/>
              </a:ext>
            </a:extLst>
          </xdr:cNvPr>
          <xdr:cNvSpPr/>
        </xdr:nvSpPr>
        <xdr:spPr bwMode="auto">
          <a:xfrm>
            <a:off x="4215502" y="6007268"/>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332" name="Option Button 68" hidden="1">
            <a:extLst>
              <a:ext uri="{63B3BB69-23CF-44E3-9099-C40C66FF867C}">
                <a14:compatExt xmlns:a14="http://schemas.microsoft.com/office/drawing/2010/main" spid="_x0000_s11332"/>
              </a:ext>
              <a:ext uri="{FF2B5EF4-FFF2-40B4-BE49-F238E27FC236}">
                <a16:creationId xmlns:a16="http://schemas.microsoft.com/office/drawing/2014/main" id="{00000000-0008-0000-0800-0000442C0000}"/>
              </a:ext>
            </a:extLst>
          </xdr:cNvPr>
          <xdr:cNvSpPr/>
        </xdr:nvSpPr>
        <xdr:spPr bwMode="auto">
          <a:xfrm>
            <a:off x="4682792" y="6007268"/>
            <a:ext cx="304800"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343" name="Group Box 79" hidden="1">
            <a:extLst>
              <a:ext uri="{63B3BB69-23CF-44E3-9099-C40C66FF867C}">
                <a14:compatExt xmlns:a14="http://schemas.microsoft.com/office/drawing/2010/main" spid="_x0000_s11343"/>
              </a:ext>
              <a:ext uri="{FF2B5EF4-FFF2-40B4-BE49-F238E27FC236}">
                <a16:creationId xmlns:a16="http://schemas.microsoft.com/office/drawing/2014/main" id="{00000000-0008-0000-0800-00004F2C0000}"/>
              </a:ext>
            </a:extLst>
          </xdr:cNvPr>
          <xdr:cNvSpPr/>
        </xdr:nvSpPr>
        <xdr:spPr bwMode="auto">
          <a:xfrm>
            <a:off x="4079290" y="5862813"/>
            <a:ext cx="956432" cy="424800"/>
          </a:xfrm>
          <a:prstGeom prst="rect">
            <a:avLst/>
          </a:prstGeom>
          <a:noFill/>
          <a:ln w="9525">
            <a:miter lim="800000"/>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xdr:from>
          <xdr:col>11</xdr:col>
          <xdr:colOff>0</xdr:colOff>
          <xdr:row>25</xdr:row>
          <xdr:rowOff>0</xdr:rowOff>
        </xdr:from>
        <xdr:to>
          <xdr:col>13</xdr:col>
          <xdr:colOff>0</xdr:colOff>
          <xdr:row>26</xdr:row>
          <xdr:rowOff>0</xdr:rowOff>
        </xdr:to>
        <xdr:grpSp>
          <xdr:nvGrpSpPr>
            <xdr:cNvPr id="11373" name="Group 109">
              <a:extLst>
                <a:ext uri="{FF2B5EF4-FFF2-40B4-BE49-F238E27FC236}">
                  <a16:creationId xmlns:a16="http://schemas.microsoft.com/office/drawing/2014/main" id="{7900C30B-0715-2300-AC09-C6F0593169A1}"/>
                </a:ext>
              </a:extLst>
            </xdr:cNvPr>
            <xdr:cNvGrpSpPr>
              <a:grpSpLocks/>
            </xdr:cNvGrpSpPr>
          </xdr:nvGrpSpPr>
          <xdr:grpSpPr bwMode="auto">
            <a:xfrm>
              <a:off x="4086225" y="5867400"/>
              <a:ext cx="952500" cy="428625"/>
              <a:chOff x="40792" y="58628"/>
              <a:chExt cx="9565" cy="4248"/>
            </a:xfrm>
          </xdr:grpSpPr>
          <xdr:sp macro="" textlink="">
            <xdr:nvSpPr>
              <xdr:cNvPr id="17" name="Option Button 67" hidden="1">
                <a:extLst>
                  <a:ext uri="{63B3BB69-23CF-44E3-9099-C40C66FF867C}">
                    <a14:compatExt spid="_x0000_s11331"/>
                  </a:ext>
                  <a:ext uri="{FF2B5EF4-FFF2-40B4-BE49-F238E27FC236}">
                    <a16:creationId xmlns:a16="http://schemas.microsoft.com/office/drawing/2014/main" id="{00000000-0008-0000-0800-000011000000}"/>
                  </a:ext>
                </a:extLst>
              </xdr:cNvPr>
              <xdr:cNvSpPr/>
            </xdr:nvSpPr>
            <xdr:spPr bwMode="auto">
              <a:xfrm>
                <a:off x="42155" y="60072"/>
                <a:ext cx="3048" cy="21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9" name="Option Button 68" hidden="1">
                <a:extLst>
                  <a:ext uri="{63B3BB69-23CF-44E3-9099-C40C66FF867C}">
                    <a14:compatExt spid="_x0000_s11332"/>
                  </a:ext>
                  <a:ext uri="{FF2B5EF4-FFF2-40B4-BE49-F238E27FC236}">
                    <a16:creationId xmlns:a16="http://schemas.microsoft.com/office/drawing/2014/main" id="{00000000-0008-0000-0800-000013000000}"/>
                  </a:ext>
                </a:extLst>
              </xdr:cNvPr>
              <xdr:cNvSpPr/>
            </xdr:nvSpPr>
            <xdr:spPr bwMode="auto">
              <a:xfrm>
                <a:off x="46827" y="60072"/>
                <a:ext cx="3048" cy="21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20" name="Group Box 79" hidden="1">
                <a:extLst>
                  <a:ext uri="{63B3BB69-23CF-44E3-9099-C40C66FF867C}">
                    <a14:compatExt spid="_x0000_s11343"/>
                  </a:ext>
                  <a:ext uri="{FF2B5EF4-FFF2-40B4-BE49-F238E27FC236}">
                    <a16:creationId xmlns:a16="http://schemas.microsoft.com/office/drawing/2014/main" id="{00000000-0008-0000-0800-000014000000}"/>
                  </a:ext>
                </a:extLst>
              </xdr:cNvPr>
              <xdr:cNvSpPr/>
            </xdr:nvSpPr>
            <xdr:spPr bwMode="auto">
              <a:xfrm>
                <a:off x="40792" y="58628"/>
                <a:ext cx="9565" cy="424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8</xdr:col>
      <xdr:colOff>330293</xdr:colOff>
      <xdr:row>2</xdr:row>
      <xdr:rowOff>1081</xdr:rowOff>
    </xdr:from>
    <xdr:to>
      <xdr:col>10</xdr:col>
      <xdr:colOff>11327</xdr:colOff>
      <xdr:row>11</xdr:row>
      <xdr:rowOff>15392</xdr:rowOff>
    </xdr:to>
    <xdr:grpSp>
      <xdr:nvGrpSpPr>
        <xdr:cNvPr id="10" name="Gruppieren 9">
          <a:extLst>
            <a:ext uri="{FF2B5EF4-FFF2-40B4-BE49-F238E27FC236}">
              <a16:creationId xmlns:a16="http://schemas.microsoft.com/office/drawing/2014/main" id="{00000000-0008-0000-0A00-00000A000000}"/>
            </a:ext>
          </a:extLst>
        </xdr:cNvPr>
        <xdr:cNvGrpSpPr/>
      </xdr:nvGrpSpPr>
      <xdr:grpSpPr>
        <a:xfrm>
          <a:off x="3549743" y="334456"/>
          <a:ext cx="214434" cy="1424011"/>
          <a:chOff x="3550208" y="335618"/>
          <a:chExt cx="215363" cy="1431445"/>
        </a:xfrm>
      </xdr:grpSpPr>
      <xdr:pic>
        <xdr:nvPicPr>
          <xdr:cNvPr id="2" name="Graphic 4" descr="Employee badge outlin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563320" y="335618"/>
            <a:ext cx="189139" cy="198492"/>
          </a:xfrm>
          <a:prstGeom prst="rect">
            <a:avLst/>
          </a:prstGeom>
        </xdr:spPr>
      </xdr:pic>
      <xdr:pic>
        <xdr:nvPicPr>
          <xdr:cNvPr id="3" name="Graphic 1" descr="Email outlin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554180" y="648851"/>
            <a:ext cx="207418" cy="170146"/>
          </a:xfrm>
          <a:prstGeom prst="rect">
            <a:avLst/>
          </a:prstGeom>
        </xdr:spPr>
      </xdr:pic>
      <xdr:pic>
        <xdr:nvPicPr>
          <xdr:cNvPr id="4" name="Graphic 2" descr="Telephone outline">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3557157" y="940553"/>
            <a:ext cx="201464" cy="210659"/>
          </a:xfrm>
          <a:prstGeom prst="rect">
            <a:avLst/>
          </a:prstGeom>
        </xdr:spPr>
      </xdr:pic>
      <xdr:pic>
        <xdr:nvPicPr>
          <xdr:cNvPr id="5" name="Graphic 3" descr="Briefcase outline">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556803" y="1259304"/>
            <a:ext cx="202173" cy="186800"/>
          </a:xfrm>
          <a:prstGeom prst="rect">
            <a:avLst/>
          </a:prstGeom>
        </xdr:spPr>
      </xdr:pic>
      <xdr:pic>
        <xdr:nvPicPr>
          <xdr:cNvPr id="6" name="Graphic 3" descr="Help">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3550208" y="1552235"/>
            <a:ext cx="215363" cy="214828"/>
          </a:xfrm>
          <a:prstGeom prst="rect">
            <a:avLst/>
          </a:prstGeom>
        </xdr:spPr>
      </xdr:pic>
    </xdr:grpSp>
    <xdr:clientData/>
  </xdr:twoCellAnchor>
  <xdr:twoCellAnchor>
    <xdr:from>
      <xdr:col>7</xdr:col>
      <xdr:colOff>112873</xdr:colOff>
      <xdr:row>13</xdr:row>
      <xdr:rowOff>189139</xdr:rowOff>
    </xdr:from>
    <xdr:to>
      <xdr:col>12</xdr:col>
      <xdr:colOff>333278</xdr:colOff>
      <xdr:row>15</xdr:row>
      <xdr:rowOff>380539</xdr:rowOff>
    </xdr:to>
    <xdr:grpSp>
      <xdr:nvGrpSpPr>
        <xdr:cNvPr id="11" name="Gruppieren 10">
          <a:extLst>
            <a:ext uri="{FF2B5EF4-FFF2-40B4-BE49-F238E27FC236}">
              <a16:creationId xmlns:a16="http://schemas.microsoft.com/office/drawing/2014/main" id="{00000000-0008-0000-0A00-00000B000000}"/>
            </a:ext>
          </a:extLst>
        </xdr:cNvPr>
        <xdr:cNvGrpSpPr/>
      </xdr:nvGrpSpPr>
      <xdr:grpSpPr>
        <a:xfrm>
          <a:off x="3218023" y="2189389"/>
          <a:ext cx="1620580" cy="572400"/>
          <a:chOff x="3225193" y="2211370"/>
          <a:chExt cx="1620064" cy="572400"/>
        </a:xfrm>
      </xdr:grpSpPr>
      <xdr:sp macro="" textlink="">
        <xdr:nvSpPr>
          <xdr:cNvPr id="12302" name="Option Button 14" hidden="1">
            <a:extLst>
              <a:ext uri="{63B3BB69-23CF-44E3-9099-C40C66FF867C}">
                <a14:compatExt xmlns:a14="http://schemas.microsoft.com/office/drawing/2010/main" spid="_x0000_s12302"/>
              </a:ext>
              <a:ext uri="{FF2B5EF4-FFF2-40B4-BE49-F238E27FC236}">
                <a16:creationId xmlns:a16="http://schemas.microsoft.com/office/drawing/2014/main" id="{00000000-0008-0000-0A00-00000E300000}"/>
              </a:ext>
            </a:extLst>
          </xdr:cNvPr>
          <xdr:cNvSpPr/>
        </xdr:nvSpPr>
        <xdr:spPr bwMode="auto">
          <a:xfrm>
            <a:off x="3386140" y="2384181"/>
            <a:ext cx="304623"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303" name="Option Button 15" hidden="1">
            <a:extLst>
              <a:ext uri="{63B3BB69-23CF-44E3-9099-C40C66FF867C}">
                <a14:compatExt xmlns:a14="http://schemas.microsoft.com/office/drawing/2010/main" spid="_x0000_s12303"/>
              </a:ext>
              <a:ext uri="{FF2B5EF4-FFF2-40B4-BE49-F238E27FC236}">
                <a16:creationId xmlns:a16="http://schemas.microsoft.com/office/drawing/2014/main" id="{00000000-0008-0000-0A00-00000F300000}"/>
              </a:ext>
            </a:extLst>
          </xdr:cNvPr>
          <xdr:cNvSpPr/>
        </xdr:nvSpPr>
        <xdr:spPr bwMode="auto">
          <a:xfrm>
            <a:off x="3852980" y="2384181"/>
            <a:ext cx="306854"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304" name="Option Button 16" hidden="1">
            <a:extLst>
              <a:ext uri="{63B3BB69-23CF-44E3-9099-C40C66FF867C}">
                <a14:compatExt xmlns:a14="http://schemas.microsoft.com/office/drawing/2010/main" spid="_x0000_s12304"/>
              </a:ext>
              <a:ext uri="{FF2B5EF4-FFF2-40B4-BE49-F238E27FC236}">
                <a16:creationId xmlns:a16="http://schemas.microsoft.com/office/drawing/2014/main" id="{00000000-0008-0000-0A00-000010300000}"/>
              </a:ext>
            </a:extLst>
          </xdr:cNvPr>
          <xdr:cNvSpPr/>
        </xdr:nvSpPr>
        <xdr:spPr bwMode="auto">
          <a:xfrm>
            <a:off x="4398247" y="2384181"/>
            <a:ext cx="305491"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311" name="Group Box 23" hidden="1">
            <a:extLst>
              <a:ext uri="{63B3BB69-23CF-44E3-9099-C40C66FF867C}">
                <a14:compatExt xmlns:a14="http://schemas.microsoft.com/office/drawing/2010/main" spid="_x0000_s12311"/>
              </a:ext>
              <a:ext uri="{FF2B5EF4-FFF2-40B4-BE49-F238E27FC236}">
                <a16:creationId xmlns:a16="http://schemas.microsoft.com/office/drawing/2014/main" id="{00000000-0008-0000-0A00-000017300000}"/>
              </a:ext>
            </a:extLst>
          </xdr:cNvPr>
          <xdr:cNvSpPr/>
        </xdr:nvSpPr>
        <xdr:spPr bwMode="auto">
          <a:xfrm>
            <a:off x="3225193" y="2211370"/>
            <a:ext cx="1620064" cy="572400"/>
          </a:xfrm>
          <a:prstGeom prst="rect">
            <a:avLst/>
          </a:prstGeom>
          <a:noFill/>
          <a:ln w="9525">
            <a:miter lim="800000"/>
            <a:headEnd/>
            <a:tailEn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8</xdr:col>
          <xdr:colOff>161925</xdr:colOff>
          <xdr:row>17</xdr:row>
          <xdr:rowOff>0</xdr:rowOff>
        </xdr:from>
        <xdr:to>
          <xdr:col>9</xdr:col>
          <xdr:colOff>123825</xdr:colOff>
          <xdr:row>17</xdr:row>
          <xdr:rowOff>219075</xdr:rowOff>
        </xdr:to>
        <xdr:sp macro="" textlink="">
          <xdr:nvSpPr>
            <xdr:cNvPr id="12305" name="Option Button 17" hidden="1">
              <a:extLst>
                <a:ext uri="{63B3BB69-23CF-44E3-9099-C40C66FF867C}">
                  <a14:compatExt spid="_x0000_s12305"/>
                </a:ext>
                <a:ext uri="{FF2B5EF4-FFF2-40B4-BE49-F238E27FC236}">
                  <a16:creationId xmlns:a16="http://schemas.microsoft.com/office/drawing/2014/main" id="{00000000-0008-0000-0A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17</xdr:row>
          <xdr:rowOff>0</xdr:rowOff>
        </xdr:from>
        <xdr:to>
          <xdr:col>10</xdr:col>
          <xdr:colOff>409575</xdr:colOff>
          <xdr:row>17</xdr:row>
          <xdr:rowOff>219075</xdr:rowOff>
        </xdr:to>
        <xdr:sp macro="" textlink="">
          <xdr:nvSpPr>
            <xdr:cNvPr id="12306" name="Option Button 18" hidden="1">
              <a:extLst>
                <a:ext uri="{63B3BB69-23CF-44E3-9099-C40C66FF867C}">
                  <a14:compatExt spid="_x0000_s12306"/>
                </a:ext>
                <a:ext uri="{FF2B5EF4-FFF2-40B4-BE49-F238E27FC236}">
                  <a16:creationId xmlns:a16="http://schemas.microsoft.com/office/drawing/2014/main" id="{00000000-0008-0000-0A00-00001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17</xdr:row>
          <xdr:rowOff>0</xdr:rowOff>
        </xdr:from>
        <xdr:to>
          <xdr:col>12</xdr:col>
          <xdr:colOff>190500</xdr:colOff>
          <xdr:row>17</xdr:row>
          <xdr:rowOff>219075</xdr:rowOff>
        </xdr:to>
        <xdr:sp macro="" textlink="">
          <xdr:nvSpPr>
            <xdr:cNvPr id="12307" name="Option Button 19" hidden="1">
              <a:extLst>
                <a:ext uri="{63B3BB69-23CF-44E3-9099-C40C66FF867C}">
                  <a14:compatExt spid="_x0000_s12307"/>
                </a:ext>
                <a:ext uri="{FF2B5EF4-FFF2-40B4-BE49-F238E27FC236}">
                  <a16:creationId xmlns:a16="http://schemas.microsoft.com/office/drawing/2014/main" id="{00000000-0008-0000-0A00-000013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0</xdr:rowOff>
        </xdr:from>
        <xdr:to>
          <xdr:col>13</xdr:col>
          <xdr:colOff>0</xdr:colOff>
          <xdr:row>18</xdr:row>
          <xdr:rowOff>0</xdr:rowOff>
        </xdr:to>
        <xdr:sp macro="" textlink="">
          <xdr:nvSpPr>
            <xdr:cNvPr id="12312" name="Group Box 24" hidden="1">
              <a:extLst>
                <a:ext uri="{63B3BB69-23CF-44E3-9099-C40C66FF867C}">
                  <a14:compatExt spid="_x0000_s12312"/>
                </a:ext>
                <a:ext uri="{FF2B5EF4-FFF2-40B4-BE49-F238E27FC236}">
                  <a16:creationId xmlns:a16="http://schemas.microsoft.com/office/drawing/2014/main" id="{00000000-0008-0000-0A00-000018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19</xdr:row>
          <xdr:rowOff>28575</xdr:rowOff>
        </xdr:from>
        <xdr:to>
          <xdr:col>9</xdr:col>
          <xdr:colOff>123825</xdr:colOff>
          <xdr:row>19</xdr:row>
          <xdr:rowOff>238125</xdr:rowOff>
        </xdr:to>
        <xdr:sp macro="" textlink="">
          <xdr:nvSpPr>
            <xdr:cNvPr id="12308" name="Option Button 20" hidden="1">
              <a:extLst>
                <a:ext uri="{63B3BB69-23CF-44E3-9099-C40C66FF867C}">
                  <a14:compatExt spid="_x0000_s12308"/>
                </a:ext>
                <a:ext uri="{FF2B5EF4-FFF2-40B4-BE49-F238E27FC236}">
                  <a16:creationId xmlns:a16="http://schemas.microsoft.com/office/drawing/2014/main" id="{00000000-0008-0000-0A00-00001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28575</xdr:rowOff>
        </xdr:from>
        <xdr:to>
          <xdr:col>10</xdr:col>
          <xdr:colOff>409575</xdr:colOff>
          <xdr:row>19</xdr:row>
          <xdr:rowOff>238125</xdr:rowOff>
        </xdr:to>
        <xdr:sp macro="" textlink="">
          <xdr:nvSpPr>
            <xdr:cNvPr id="12309" name="Option Button 21" hidden="1">
              <a:extLst>
                <a:ext uri="{63B3BB69-23CF-44E3-9099-C40C66FF867C}">
                  <a14:compatExt spid="_x0000_s12309"/>
                </a:ext>
                <a:ext uri="{FF2B5EF4-FFF2-40B4-BE49-F238E27FC236}">
                  <a16:creationId xmlns:a16="http://schemas.microsoft.com/office/drawing/2014/main" id="{00000000-0008-0000-0A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19</xdr:row>
          <xdr:rowOff>28575</xdr:rowOff>
        </xdr:from>
        <xdr:to>
          <xdr:col>12</xdr:col>
          <xdr:colOff>190500</xdr:colOff>
          <xdr:row>19</xdr:row>
          <xdr:rowOff>238125</xdr:rowOff>
        </xdr:to>
        <xdr:sp macro="" textlink="">
          <xdr:nvSpPr>
            <xdr:cNvPr id="12310" name="Option Button 22" hidden="1">
              <a:extLst>
                <a:ext uri="{63B3BB69-23CF-44E3-9099-C40C66FF867C}">
                  <a14:compatExt spid="_x0000_s12310"/>
                </a:ext>
                <a:ext uri="{FF2B5EF4-FFF2-40B4-BE49-F238E27FC236}">
                  <a16:creationId xmlns:a16="http://schemas.microsoft.com/office/drawing/2014/main" id="{00000000-0008-0000-0A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13</xdr:col>
          <xdr:colOff>0</xdr:colOff>
          <xdr:row>20</xdr:row>
          <xdr:rowOff>0</xdr:rowOff>
        </xdr:to>
        <xdr:sp macro="" textlink="">
          <xdr:nvSpPr>
            <xdr:cNvPr id="12313" name="Group Box 25" hidden="1">
              <a:extLst>
                <a:ext uri="{63B3BB69-23CF-44E3-9099-C40C66FF867C}">
                  <a14:compatExt spid="_x0000_s12313"/>
                </a:ext>
                <a:ext uri="{FF2B5EF4-FFF2-40B4-BE49-F238E27FC236}">
                  <a16:creationId xmlns:a16="http://schemas.microsoft.com/office/drawing/2014/main" id="{00000000-0008-0000-0A00-00001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14</xdr:row>
          <xdr:rowOff>0</xdr:rowOff>
        </xdr:from>
        <xdr:to>
          <xdr:col>13</xdr:col>
          <xdr:colOff>0</xdr:colOff>
          <xdr:row>16</xdr:row>
          <xdr:rowOff>0</xdr:rowOff>
        </xdr:to>
        <xdr:grpSp>
          <xdr:nvGrpSpPr>
            <xdr:cNvPr id="12316" name="Group 28">
              <a:extLst>
                <a:ext uri="{FF2B5EF4-FFF2-40B4-BE49-F238E27FC236}">
                  <a16:creationId xmlns:a16="http://schemas.microsoft.com/office/drawing/2014/main" id="{98A51813-4378-06C5-C4E1-80BF7A27E28D}"/>
                </a:ext>
              </a:extLst>
            </xdr:cNvPr>
            <xdr:cNvGrpSpPr>
              <a:grpSpLocks/>
            </xdr:cNvGrpSpPr>
          </xdr:nvGrpSpPr>
          <xdr:grpSpPr bwMode="auto">
            <a:xfrm>
              <a:off x="3219450" y="2190750"/>
              <a:ext cx="1619250" cy="571500"/>
              <a:chOff x="32251" y="22113"/>
              <a:chExt cx="16201" cy="5724"/>
            </a:xfrm>
          </xdr:grpSpPr>
          <xdr:sp macro="" textlink="">
            <xdr:nvSpPr>
              <xdr:cNvPr id="7" name="Option Button 14" hidden="1">
                <a:extLst>
                  <a:ext uri="{63B3BB69-23CF-44E3-9099-C40C66FF867C}">
                    <a14:compatExt spid="_x0000_s12302"/>
                  </a:ext>
                  <a:ext uri="{FF2B5EF4-FFF2-40B4-BE49-F238E27FC236}">
                    <a16:creationId xmlns:a16="http://schemas.microsoft.com/office/drawing/2014/main" id="{00000000-0008-0000-0A00-000007000000}"/>
                  </a:ext>
                </a:extLst>
              </xdr:cNvPr>
              <xdr:cNvSpPr/>
            </xdr:nvSpPr>
            <xdr:spPr bwMode="auto">
              <a:xfrm>
                <a:off x="33861" y="23841"/>
                <a:ext cx="3046" cy="21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8" name="Option Button 15" hidden="1">
                <a:extLst>
                  <a:ext uri="{63B3BB69-23CF-44E3-9099-C40C66FF867C}">
                    <a14:compatExt spid="_x0000_s12303"/>
                  </a:ext>
                  <a:ext uri="{FF2B5EF4-FFF2-40B4-BE49-F238E27FC236}">
                    <a16:creationId xmlns:a16="http://schemas.microsoft.com/office/drawing/2014/main" id="{00000000-0008-0000-0A00-000008000000}"/>
                  </a:ext>
                </a:extLst>
              </xdr:cNvPr>
              <xdr:cNvSpPr/>
            </xdr:nvSpPr>
            <xdr:spPr bwMode="auto">
              <a:xfrm>
                <a:off x="38529" y="23841"/>
                <a:ext cx="3069" cy="21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9" name="Option Button 16" hidden="1">
                <a:extLst>
                  <a:ext uri="{63B3BB69-23CF-44E3-9099-C40C66FF867C}">
                    <a14:compatExt spid="_x0000_s12304"/>
                  </a:ext>
                  <a:ext uri="{FF2B5EF4-FFF2-40B4-BE49-F238E27FC236}">
                    <a16:creationId xmlns:a16="http://schemas.microsoft.com/office/drawing/2014/main" id="{00000000-0008-0000-0A00-000009000000}"/>
                  </a:ext>
                </a:extLst>
              </xdr:cNvPr>
              <xdr:cNvSpPr/>
            </xdr:nvSpPr>
            <xdr:spPr bwMode="auto">
              <a:xfrm>
                <a:off x="43982" y="23841"/>
                <a:ext cx="3055" cy="21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12" name="Group Box 23" hidden="1">
                <a:extLst>
                  <a:ext uri="{63B3BB69-23CF-44E3-9099-C40C66FF867C}">
                    <a14:compatExt spid="_x0000_s12311"/>
                  </a:ext>
                  <a:ext uri="{FF2B5EF4-FFF2-40B4-BE49-F238E27FC236}">
                    <a16:creationId xmlns:a16="http://schemas.microsoft.com/office/drawing/2014/main" id="{00000000-0008-0000-0A00-00000C000000}"/>
                  </a:ext>
                </a:extLst>
              </xdr:cNvPr>
              <xdr:cNvSpPr/>
            </xdr:nvSpPr>
            <xdr:spPr bwMode="auto">
              <a:xfrm>
                <a:off x="32251" y="22113"/>
                <a:ext cx="16201" cy="5724"/>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38100</xdr:colOff>
      <xdr:row>41</xdr:row>
      <xdr:rowOff>9526</xdr:rowOff>
    </xdr:from>
    <xdr:to>
      <xdr:col>12</xdr:col>
      <xdr:colOff>4510</xdr:colOff>
      <xdr:row>54</xdr:row>
      <xdr:rowOff>161026</xdr:rowOff>
    </xdr:to>
    <xdr:graphicFrame macro="">
      <xdr:nvGraphicFramePr>
        <xdr:cNvPr id="7" name="Diagramm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22</xdr:row>
      <xdr:rowOff>1</xdr:rowOff>
    </xdr:from>
    <xdr:to>
      <xdr:col>12</xdr:col>
      <xdr:colOff>1</xdr:colOff>
      <xdr:row>23</xdr:row>
      <xdr:rowOff>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155111</xdr:colOff>
      <xdr:row>25</xdr:row>
      <xdr:rowOff>47625</xdr:rowOff>
    </xdr:from>
    <xdr:to>
      <xdr:col>11</xdr:col>
      <xdr:colOff>676274</xdr:colOff>
      <xdr:row>29</xdr:row>
      <xdr:rowOff>19050</xdr:rowOff>
    </xdr:to>
    <xdr:grpSp>
      <xdr:nvGrpSpPr>
        <xdr:cNvPr id="36" name="Zielsetzung_Pyramide">
          <a:extLst>
            <a:ext uri="{FF2B5EF4-FFF2-40B4-BE49-F238E27FC236}">
              <a16:creationId xmlns:a16="http://schemas.microsoft.com/office/drawing/2014/main" id="{00000000-0008-0000-0C00-000024000000}"/>
            </a:ext>
          </a:extLst>
        </xdr:cNvPr>
        <xdr:cNvGrpSpPr/>
      </xdr:nvGrpSpPr>
      <xdr:grpSpPr>
        <a:xfrm>
          <a:off x="7784636" y="7248525"/>
          <a:ext cx="2216613" cy="1590675"/>
          <a:chOff x="4349238" y="8535171"/>
          <a:chExt cx="2220900" cy="1913532"/>
        </a:xfrm>
      </xdr:grpSpPr>
      <mc:AlternateContent xmlns:mc="http://schemas.openxmlformats.org/markup-compatibility/2006" xmlns:a14="http://schemas.microsoft.com/office/drawing/2010/main">
        <mc:Choice Requires="a14">
          <xdr:pic>
            <xdr:nvPicPr>
              <xdr:cNvPr id="37" name="Zielsetzung_Summe">
                <a:extLst>
                  <a:ext uri="{FF2B5EF4-FFF2-40B4-BE49-F238E27FC236}">
                    <a16:creationId xmlns:a16="http://schemas.microsoft.com/office/drawing/2014/main" id="{00000000-0008-0000-0C00-000025000000}"/>
                  </a:ext>
                </a:extLst>
              </xdr:cNvPr>
              <xdr:cNvPicPr>
                <a:picLocks noChangeArrowheads="1"/>
                <a:extLst>
                  <a:ext uri="{84589F7E-364E-4C9E-8A38-B11213B215E9}">
                    <a14:cameraTool cellRange="TriangleSelection" spid="_x0000_s121946"/>
                  </a:ext>
                </a:extLst>
              </xdr:cNvPicPr>
            </xdr:nvPicPr>
            <xdr:blipFill rotWithShape="1">
              <a:blip xmlns:r="http://schemas.openxmlformats.org/officeDocument/2006/relationships" r:embed="rId3"/>
              <a:srcRect l="2099" r="2761" b="2074"/>
              <a:stretch>
                <a:fillRect/>
              </a:stretch>
            </xdr:blipFill>
            <xdr:spPr bwMode="auto">
              <a:xfrm>
                <a:off x="4909860" y="9454398"/>
                <a:ext cx="1098000" cy="942080"/>
              </a:xfrm>
              <a:prstGeom prst="rect">
                <a:avLst/>
              </a:prstGeom>
              <a:noFill/>
              <a:extLst>
                <a:ext uri="{909E8E84-426E-40DD-AFC4-6F175D3DCCD1}">
                  <a14:hiddenFill>
                    <a:solidFill>
                      <a:srgbClr val="FFFFFF"/>
                    </a:solidFill>
                  </a14:hiddenFill>
                </a:ext>
              </a:extLst>
            </xdr:spPr>
          </xdr:pic>
        </mc:Choice>
        <mc:Fallback xmlns=""/>
      </mc:AlternateContent>
      <xdr:grpSp>
        <xdr:nvGrpSpPr>
          <xdr:cNvPr id="38" name="Zielsetzung_Umweltverträglichkeit">
            <a:extLst>
              <a:ext uri="{FF2B5EF4-FFF2-40B4-BE49-F238E27FC236}">
                <a16:creationId xmlns:a16="http://schemas.microsoft.com/office/drawing/2014/main" id="{00000000-0008-0000-0C00-000026000000}"/>
              </a:ext>
            </a:extLst>
          </xdr:cNvPr>
          <xdr:cNvGrpSpPr/>
        </xdr:nvGrpSpPr>
        <xdr:grpSpPr>
          <a:xfrm>
            <a:off x="4375959" y="9465368"/>
            <a:ext cx="1088059" cy="983309"/>
            <a:chOff x="59088" y="1086824"/>
            <a:chExt cx="1088059" cy="991771"/>
          </a:xfrm>
          <a:scene3d>
            <a:camera prst="orthographicFront"/>
            <a:lightRig rig="flat" dir="t"/>
          </a:scene3d>
        </xdr:grpSpPr>
        <xdr:sp macro="" textlink="">
          <xdr:nvSpPr>
            <xdr:cNvPr id="50" name="Isosceles Triangle 49">
              <a:extLst>
                <a:ext uri="{FF2B5EF4-FFF2-40B4-BE49-F238E27FC236}">
                  <a16:creationId xmlns:a16="http://schemas.microsoft.com/office/drawing/2014/main" id="{00000000-0008-0000-0C00-000032000000}"/>
                </a:ext>
              </a:extLst>
            </xdr:cNvPr>
            <xdr:cNvSpPr/>
          </xdr:nvSpPr>
          <xdr:spPr>
            <a:xfrm>
              <a:off x="59088" y="1086824"/>
              <a:ext cx="1088059" cy="940074"/>
            </a:xfrm>
            <a:prstGeom prst="triangle">
              <a:avLst/>
            </a:prstGeom>
            <a:gradFill rotWithShape="0">
              <a:gsLst>
                <a:gs pos="0">
                  <a:srgbClr val="40B93C">
                    <a:alpha val="90000"/>
                    <a:hueOff val="0"/>
                    <a:satOff val="0"/>
                    <a:lumOff val="0"/>
                    <a:alphaOff val="0"/>
                    <a:lumMod val="110000"/>
                    <a:satMod val="105000"/>
                    <a:tint val="67000"/>
                  </a:srgbClr>
                </a:gs>
                <a:gs pos="50000">
                  <a:srgbClr val="40B93C">
                    <a:alpha val="90000"/>
                    <a:hueOff val="0"/>
                    <a:satOff val="0"/>
                    <a:lumOff val="0"/>
                    <a:alphaOff val="0"/>
                    <a:lumMod val="105000"/>
                    <a:satMod val="103000"/>
                    <a:tint val="73000"/>
                  </a:srgbClr>
                </a:gs>
                <a:gs pos="100000">
                  <a:srgbClr val="40B93C">
                    <a:alpha val="90000"/>
                    <a:hueOff val="0"/>
                    <a:satOff val="0"/>
                    <a:lumOff val="0"/>
                    <a:alphaOff val="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rgbClr r="0" g="0" b="0"/>
            </a:fillRef>
            <a:effectRef idx="1">
              <a:schemeClr val="accent1">
                <a:alpha val="90000"/>
                <a:hueOff val="0"/>
                <a:satOff val="0"/>
                <a:lumOff val="0"/>
                <a:alphaOff val="-13333"/>
              </a:schemeClr>
            </a:effectRef>
            <a:fontRef idx="minor">
              <a:schemeClr val="dk1"/>
            </a:fontRef>
          </xdr:style>
        </xdr:sp>
        <xdr:sp macro="" textlink="">
          <xdr:nvSpPr>
            <xdr:cNvPr id="51" name="Isosceles Triangle 4">
              <a:extLst>
                <a:ext uri="{FF2B5EF4-FFF2-40B4-BE49-F238E27FC236}">
                  <a16:creationId xmlns:a16="http://schemas.microsoft.com/office/drawing/2014/main" id="{00000000-0008-0000-0C00-000033000000}"/>
                </a:ext>
              </a:extLst>
            </xdr:cNvPr>
            <xdr:cNvSpPr txBox="1"/>
          </xdr:nvSpPr>
          <xdr:spPr>
            <a:xfrm>
              <a:off x="169911" y="1608555"/>
              <a:ext cx="892645" cy="470040"/>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t>Umweltverträglichkeit</a:t>
              </a:r>
              <a:endParaRPr lang="en-GB" sz="500" b="1" kern="1200"/>
            </a:p>
          </xdr:txBody>
        </xdr:sp>
      </xdr:grpSp>
      <xdr:grpSp>
        <xdr:nvGrpSpPr>
          <xdr:cNvPr id="39" name="Zielsetzung_Versorgungssicherheit">
            <a:extLst>
              <a:ext uri="{FF2B5EF4-FFF2-40B4-BE49-F238E27FC236}">
                <a16:creationId xmlns:a16="http://schemas.microsoft.com/office/drawing/2014/main" id="{00000000-0008-0000-0C00-000027000000}"/>
              </a:ext>
            </a:extLst>
          </xdr:cNvPr>
          <xdr:cNvGrpSpPr/>
        </xdr:nvGrpSpPr>
        <xdr:grpSpPr>
          <a:xfrm>
            <a:off x="5460978" y="9465366"/>
            <a:ext cx="1088059" cy="983337"/>
            <a:chOff x="1145019" y="1086824"/>
            <a:chExt cx="1088059" cy="991802"/>
          </a:xfrm>
          <a:scene3d>
            <a:camera prst="orthographicFront"/>
            <a:lightRig rig="flat" dir="t"/>
          </a:scene3d>
        </xdr:grpSpPr>
        <xdr:sp macro="" textlink="">
          <xdr:nvSpPr>
            <xdr:cNvPr id="48" name="Isosceles Triangle 47">
              <a:extLst>
                <a:ext uri="{FF2B5EF4-FFF2-40B4-BE49-F238E27FC236}">
                  <a16:creationId xmlns:a16="http://schemas.microsoft.com/office/drawing/2014/main" id="{00000000-0008-0000-0C00-000030000000}"/>
                </a:ext>
              </a:extLst>
            </xdr:cNvPr>
            <xdr:cNvSpPr/>
          </xdr:nvSpPr>
          <xdr:spPr>
            <a:xfrm>
              <a:off x="1145019" y="1086824"/>
              <a:ext cx="1088059" cy="940074"/>
            </a:xfrm>
            <a:prstGeom prst="triangle">
              <a:avLst/>
            </a:prstGeom>
            <a:gradFill rotWithShape="1">
              <a:gsLst>
                <a:gs pos="0">
                  <a:srgbClr val="40B93C">
                    <a:alpha val="90000"/>
                    <a:hueOff val="0"/>
                    <a:satOff val="0"/>
                    <a:lumOff val="0"/>
                    <a:alphaOff val="-40000"/>
                    <a:lumMod val="110000"/>
                    <a:satMod val="105000"/>
                    <a:tint val="67000"/>
                  </a:srgbClr>
                </a:gs>
                <a:gs pos="50000">
                  <a:srgbClr val="40B93C">
                    <a:alpha val="90000"/>
                    <a:hueOff val="0"/>
                    <a:satOff val="0"/>
                    <a:lumOff val="0"/>
                    <a:alphaOff val="-40000"/>
                    <a:lumMod val="105000"/>
                    <a:satMod val="103000"/>
                    <a:tint val="73000"/>
                  </a:srgbClr>
                </a:gs>
                <a:gs pos="100000">
                  <a:srgbClr val="40B93C">
                    <a:alpha val="90000"/>
                    <a:hueOff val="0"/>
                    <a:satOff val="0"/>
                    <a:lumOff val="0"/>
                    <a:alphaOff val="-4000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hemeClr val="accent1">
                <a:alpha val="90000"/>
                <a:hueOff val="0"/>
                <a:satOff val="0"/>
                <a:lumOff val="0"/>
                <a:alphaOff val="-40000"/>
              </a:schemeClr>
            </a:fillRef>
            <a:effectRef idx="1">
              <a:schemeClr val="accent1">
                <a:alpha val="90000"/>
                <a:hueOff val="0"/>
                <a:satOff val="0"/>
                <a:lumOff val="0"/>
                <a:alphaOff val="-40000"/>
              </a:schemeClr>
            </a:effectRef>
            <a:fontRef idx="minor">
              <a:schemeClr val="dk1"/>
            </a:fontRef>
          </xdr:style>
        </xdr:sp>
        <xdr:sp macro="" textlink="">
          <xdr:nvSpPr>
            <xdr:cNvPr id="49" name="Isosceles Triangle 4">
              <a:extLst>
                <a:ext uri="{FF2B5EF4-FFF2-40B4-BE49-F238E27FC236}">
                  <a16:creationId xmlns:a16="http://schemas.microsoft.com/office/drawing/2014/main" id="{00000000-0008-0000-0C00-000031000000}"/>
                </a:ext>
              </a:extLst>
            </xdr:cNvPr>
            <xdr:cNvSpPr txBox="1"/>
          </xdr:nvSpPr>
          <xdr:spPr>
            <a:xfrm>
              <a:off x="1197224" y="1608571"/>
              <a:ext cx="994587" cy="470055"/>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t>Versorgungssicherheit</a:t>
              </a:r>
            </a:p>
          </xdr:txBody>
        </xdr:sp>
      </xdr:grpSp>
      <xdr:grpSp>
        <xdr:nvGrpSpPr>
          <xdr:cNvPr id="40" name="Zielsetzung_Wirtschaftlichkeit">
            <a:extLst>
              <a:ext uri="{FF2B5EF4-FFF2-40B4-BE49-F238E27FC236}">
                <a16:creationId xmlns:a16="http://schemas.microsoft.com/office/drawing/2014/main" id="{00000000-0008-0000-0C00-000028000000}"/>
              </a:ext>
            </a:extLst>
          </xdr:cNvPr>
          <xdr:cNvGrpSpPr/>
        </xdr:nvGrpSpPr>
        <xdr:grpSpPr>
          <a:xfrm>
            <a:off x="4918657" y="8535171"/>
            <a:ext cx="1088059" cy="986256"/>
            <a:chOff x="602484" y="154171"/>
            <a:chExt cx="1088059" cy="998664"/>
          </a:xfrm>
          <a:scene3d>
            <a:camera prst="orthographicFront"/>
            <a:lightRig rig="flat" dir="t"/>
          </a:scene3d>
        </xdr:grpSpPr>
        <xdr:sp macro="" textlink="">
          <xdr:nvSpPr>
            <xdr:cNvPr id="46" name="Isosceles Triangle 45">
              <a:extLst>
                <a:ext uri="{FF2B5EF4-FFF2-40B4-BE49-F238E27FC236}">
                  <a16:creationId xmlns:a16="http://schemas.microsoft.com/office/drawing/2014/main" id="{00000000-0008-0000-0C00-00002E000000}"/>
                </a:ext>
              </a:extLst>
            </xdr:cNvPr>
            <xdr:cNvSpPr/>
          </xdr:nvSpPr>
          <xdr:spPr>
            <a:xfrm>
              <a:off x="602484" y="154171"/>
              <a:ext cx="1088059" cy="940074"/>
            </a:xfrm>
            <a:prstGeom prst="triangle">
              <a:avLst/>
            </a:prstGeom>
            <a:gradFill rotWithShape="1">
              <a:gsLst>
                <a:gs pos="0">
                  <a:srgbClr val="40B93C">
                    <a:alpha val="90000"/>
                    <a:hueOff val="0"/>
                    <a:satOff val="0"/>
                    <a:lumOff val="0"/>
                    <a:alphaOff val="0"/>
                    <a:lumMod val="110000"/>
                    <a:satMod val="105000"/>
                    <a:tint val="67000"/>
                  </a:srgbClr>
                </a:gs>
                <a:gs pos="50000">
                  <a:srgbClr val="40B93C">
                    <a:alpha val="90000"/>
                    <a:hueOff val="0"/>
                    <a:satOff val="0"/>
                    <a:lumOff val="0"/>
                    <a:alphaOff val="0"/>
                    <a:lumMod val="105000"/>
                    <a:satMod val="103000"/>
                    <a:tint val="73000"/>
                  </a:srgbClr>
                </a:gs>
                <a:gs pos="100000">
                  <a:srgbClr val="40B93C">
                    <a:alpha val="90000"/>
                    <a:hueOff val="0"/>
                    <a:satOff val="0"/>
                    <a:lumOff val="0"/>
                    <a:alphaOff val="0"/>
                    <a:lumMod val="105000"/>
                    <a:satMod val="109000"/>
                    <a:tint val="81000"/>
                  </a:srgbClr>
                </a:gs>
              </a:gsLst>
              <a:lin ang="5400000" scaled="0"/>
            </a:gradFill>
            <a:ln>
              <a:noFill/>
            </a:ln>
            <a:effectLst/>
            <a:sp3d prstMaterial="dkEdge">
              <a:bevelT w="8200" h="38100"/>
            </a:sp3d>
          </xdr:spPr>
          <xdr:style>
            <a:lnRef idx="0">
              <a:schemeClr val="lt1">
                <a:hueOff val="0"/>
                <a:satOff val="0"/>
                <a:lumOff val="0"/>
                <a:alphaOff val="0"/>
              </a:schemeClr>
            </a:lnRef>
            <a:fillRef idx="2">
              <a:schemeClr val="accent1">
                <a:alpha val="90000"/>
                <a:hueOff val="0"/>
                <a:satOff val="0"/>
                <a:lumOff val="0"/>
                <a:alphaOff val="0"/>
              </a:schemeClr>
            </a:fillRef>
            <a:effectRef idx="1">
              <a:schemeClr val="accent1">
                <a:alpha val="90000"/>
                <a:hueOff val="0"/>
                <a:satOff val="0"/>
                <a:lumOff val="0"/>
                <a:alphaOff val="0"/>
              </a:schemeClr>
            </a:effectRef>
            <a:fontRef idx="minor">
              <a:schemeClr val="dk1"/>
            </a:fontRef>
          </xdr:style>
        </xdr:sp>
        <xdr:sp macro="" textlink="">
          <xdr:nvSpPr>
            <xdr:cNvPr id="47" name="Isosceles Triangle 4">
              <a:extLst>
                <a:ext uri="{FF2B5EF4-FFF2-40B4-BE49-F238E27FC236}">
                  <a16:creationId xmlns:a16="http://schemas.microsoft.com/office/drawing/2014/main" id="{00000000-0008-0000-0C00-00002F000000}"/>
                </a:ext>
              </a:extLst>
            </xdr:cNvPr>
            <xdr:cNvSpPr txBox="1"/>
          </xdr:nvSpPr>
          <xdr:spPr>
            <a:xfrm>
              <a:off x="793902" y="682797"/>
              <a:ext cx="701639" cy="470038"/>
            </a:xfrm>
            <a:prstGeom prst="rect">
              <a:avLst/>
            </a:prstGeom>
            <a:noFill/>
            <a:ln>
              <a:noFill/>
            </a:ln>
            <a:effectLst/>
            <a:sp3d/>
          </xdr:spPr>
          <xdr:style>
            <a:lnRef idx="0">
              <a:scrgbClr r="0" g="0" b="0"/>
            </a:lnRef>
            <a:fillRef idx="0">
              <a:scrgbClr r="0" g="0" b="0"/>
            </a:fillRef>
            <a:effectRef idx="0">
              <a:scrgbClr r="0" g="0" b="0"/>
            </a:effectRef>
            <a:fontRef idx="minor">
              <a:schemeClr val="dk1"/>
            </a:fontRef>
          </xdr:style>
          <xdr:txBody>
            <a:bodyPr spcFirstLastPara="0" vert="horz" wrap="square" lIns="0" tIns="0" rIns="0" bIns="0" numCol="1" spcCol="1270" anchor="ctr" anchorCtr="0">
              <a:noAutofit/>
            </a:bodyPr>
            <a:lstStyle/>
            <a:p>
              <a:pPr marL="0" lvl="0" indent="0" algn="ctr" defTabSz="222250">
                <a:lnSpc>
                  <a:spcPct val="90000"/>
                </a:lnSpc>
                <a:spcBef>
                  <a:spcPct val="0"/>
                </a:spcBef>
                <a:spcAft>
                  <a:spcPct val="35000"/>
                </a:spcAft>
                <a:buNone/>
              </a:pPr>
              <a:endParaRPr lang="en-GB" sz="500" kern="1200"/>
            </a:p>
            <a:p>
              <a:pPr marL="0" lvl="0" indent="0" algn="ctr" defTabSz="222250">
                <a:lnSpc>
                  <a:spcPct val="90000"/>
                </a:lnSpc>
                <a:spcBef>
                  <a:spcPct val="0"/>
                </a:spcBef>
                <a:spcAft>
                  <a:spcPct val="35000"/>
                </a:spcAft>
                <a:buNone/>
              </a:pPr>
              <a:r>
                <a:rPr lang="en-GB" sz="700" b="1" kern="1200">
                  <a:effectLst/>
                </a:rPr>
                <a:t>Wirtschaftlichkeit</a:t>
              </a:r>
              <a:endParaRPr lang="en-GB" sz="500" b="1" kern="1200">
                <a:effectLst/>
              </a:endParaRPr>
            </a:p>
          </xdr:txBody>
        </xdr:sp>
      </xdr:grpSp>
      <xdr:pic>
        <xdr:nvPicPr>
          <xdr:cNvPr id="41" name="Zielsetzung_Piktogramme">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4"/>
          <a:stretch>
            <a:fillRect/>
          </a:stretch>
        </xdr:blipFill>
        <xdr:spPr>
          <a:xfrm>
            <a:off x="4757957" y="8839039"/>
            <a:ext cx="1438781" cy="1305236"/>
          </a:xfrm>
          <a:prstGeom prst="rect">
            <a:avLst/>
          </a:prstGeom>
        </xdr:spPr>
      </xdr:pic>
      <mc:AlternateContent xmlns:mc="http://schemas.openxmlformats.org/markup-compatibility/2006" xmlns:a14="http://schemas.microsoft.com/office/drawing/2010/main">
        <mc:Choice Requires="a14">
          <xdr:pic>
            <xdr:nvPicPr>
              <xdr:cNvPr id="42" name="Zielsetzung_Summe_Zahl">
                <a:extLst>
                  <a:ext uri="{FF2B5EF4-FFF2-40B4-BE49-F238E27FC236}">
                    <a16:creationId xmlns:a16="http://schemas.microsoft.com/office/drawing/2014/main" id="{00000000-0008-0000-0C00-00002A000000}"/>
                  </a:ext>
                </a:extLst>
              </xdr:cNvPr>
              <xdr:cNvPicPr>
                <a:picLocks noChangeAspect="1" noChangeArrowheads="1"/>
                <a:extLst>
                  <a:ext uri="{84589F7E-364E-4C9E-8A38-B11213B215E9}">
                    <a14:cameraTool cellRange="helper_UNTERNEHMUNG!$B$4" spid="_x0000_s121947"/>
                  </a:ext>
                </a:extLst>
              </xdr:cNvPicPr>
            </xdr:nvPicPr>
            <xdr:blipFill rotWithShape="1">
              <a:blip xmlns:r="http://schemas.openxmlformats.org/officeDocument/2006/relationships" r:embed="rId5"/>
              <a:srcRect l="45199" t="9836" r="45199" b="9836"/>
              <a:stretch>
                <a:fillRect/>
              </a:stretch>
            </xdr:blipFill>
            <xdr:spPr bwMode="auto">
              <a:xfrm>
                <a:off x="4417787" y="9505950"/>
                <a:ext cx="2068738" cy="58102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43" name="Zielsetzung_Umweltverträglichkeit_Zahl">
                <a:extLst>
                  <a:ext uri="{FF2B5EF4-FFF2-40B4-BE49-F238E27FC236}">
                    <a16:creationId xmlns:a16="http://schemas.microsoft.com/office/drawing/2014/main" id="{00000000-0008-0000-0C00-00002B000000}"/>
                  </a:ext>
                </a:extLst>
              </xdr:cNvPr>
              <xdr:cNvPicPr>
                <a:picLocks noChangeAspect="1" noChangeArrowheads="1"/>
                <a:extLst>
                  <a:ext uri="{84589F7E-364E-4C9E-8A38-B11213B215E9}">
                    <a14:cameraTool cellRange="UNTERNEHMUNG!$H$64" spid="_x0000_s121948"/>
                  </a:ext>
                </a:extLst>
              </xdr:cNvPicPr>
            </xdr:nvPicPr>
            <xdr:blipFill rotWithShape="1">
              <a:blip xmlns:r="http://schemas.openxmlformats.org/officeDocument/2006/relationships" r:embed="rId6"/>
              <a:srcRect l="5344" t="5344" r="5344" b="5344"/>
              <a:stretch>
                <a:fillRect/>
              </a:stretch>
            </xdr:blipFill>
            <xdr:spPr bwMode="auto">
              <a:xfrm>
                <a:off x="4349238" y="9620249"/>
                <a:ext cx="1116000" cy="706042"/>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44" name="Zielsetzung_Versorgungssicherheit_Zahl">
                <a:extLst>
                  <a:ext uri="{FF2B5EF4-FFF2-40B4-BE49-F238E27FC236}">
                    <a16:creationId xmlns:a16="http://schemas.microsoft.com/office/drawing/2014/main" id="{00000000-0008-0000-0C00-00002C000000}"/>
                  </a:ext>
                </a:extLst>
              </xdr:cNvPr>
              <xdr:cNvPicPr>
                <a:picLocks noChangeAspect="1" noChangeArrowheads="1"/>
                <a:extLst>
                  <a:ext uri="{84589F7E-364E-4C9E-8A38-B11213B215E9}">
                    <a14:cameraTool cellRange="UNTERNEHMUNG!$H$66" spid="_x0000_s121949"/>
                  </a:ext>
                </a:extLst>
              </xdr:cNvPicPr>
            </xdr:nvPicPr>
            <xdr:blipFill rotWithShape="1">
              <a:blip xmlns:r="http://schemas.openxmlformats.org/officeDocument/2006/relationships" r:embed="rId7"/>
              <a:srcRect l="5102" t="5102" r="5102" b="5102"/>
              <a:stretch>
                <a:fillRect/>
              </a:stretch>
            </xdr:blipFill>
            <xdr:spPr bwMode="auto">
              <a:xfrm>
                <a:off x="5454138" y="9614030"/>
                <a:ext cx="1116000" cy="70604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45" name="Zielsetzung_Wirtschaflichkeit_Zahl">
                <a:extLst>
                  <a:ext uri="{FF2B5EF4-FFF2-40B4-BE49-F238E27FC236}">
                    <a16:creationId xmlns:a16="http://schemas.microsoft.com/office/drawing/2014/main" id="{00000000-0008-0000-0C00-00002D000000}"/>
                  </a:ext>
                </a:extLst>
              </xdr:cNvPr>
              <xdr:cNvPicPr>
                <a:picLocks noChangeAspect="1" noChangeArrowheads="1"/>
                <a:extLst>
                  <a:ext uri="{84589F7E-364E-4C9E-8A38-B11213B215E9}">
                    <a14:cameraTool cellRange="UNTERNEHMUNG!$H$62" spid="_x0000_s121950"/>
                  </a:ext>
                </a:extLst>
              </xdr:cNvPicPr>
            </xdr:nvPicPr>
            <xdr:blipFill rotWithShape="1">
              <a:blip xmlns:r="http://schemas.openxmlformats.org/officeDocument/2006/relationships" r:embed="rId8"/>
              <a:srcRect l="6111" t="6111" r="6111" b="6111"/>
              <a:stretch>
                <a:fillRect/>
              </a:stretch>
            </xdr:blipFill>
            <xdr:spPr bwMode="auto">
              <a:xfrm>
                <a:off x="4905374" y="8714402"/>
                <a:ext cx="1115653" cy="705822"/>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twoCellAnchor>
    <xdr:from>
      <xdr:col>0</xdr:col>
      <xdr:colOff>458952</xdr:colOff>
      <xdr:row>2</xdr:row>
      <xdr:rowOff>33704</xdr:rowOff>
    </xdr:from>
    <xdr:to>
      <xdr:col>0</xdr:col>
      <xdr:colOff>589037</xdr:colOff>
      <xdr:row>3</xdr:row>
      <xdr:rowOff>7838</xdr:rowOff>
    </xdr:to>
    <xdr:grpSp>
      <xdr:nvGrpSpPr>
        <xdr:cNvPr id="4" name="Betrieb_Name" descr="Building outline">
          <a:extLst>
            <a:ext uri="{FF2B5EF4-FFF2-40B4-BE49-F238E27FC236}">
              <a16:creationId xmlns:a16="http://schemas.microsoft.com/office/drawing/2014/main" id="{778B2A5A-AE9F-93EB-BABC-11ABA5172BAD}"/>
            </a:ext>
          </a:extLst>
        </xdr:cNvPr>
        <xdr:cNvGrpSpPr>
          <a:grpSpLocks/>
        </xdr:cNvGrpSpPr>
      </xdr:nvGrpSpPr>
      <xdr:grpSpPr bwMode="auto">
        <a:xfrm>
          <a:off x="458952" y="414704"/>
          <a:ext cx="130085" cy="164634"/>
          <a:chOff x="12756" y="21141"/>
          <a:chExt cx="1282" cy="1777"/>
        </a:xfrm>
      </xdr:grpSpPr>
      <xdr:sp macro="" textlink="">
        <xdr:nvSpPr>
          <xdr:cNvPr id="15" name="Freeform: Shape 12">
            <a:extLst>
              <a:ext uri="{FF2B5EF4-FFF2-40B4-BE49-F238E27FC236}">
                <a16:creationId xmlns:a16="http://schemas.microsoft.com/office/drawing/2014/main" id="{4789AB33-45ED-8661-F368-C3D87D057417}"/>
              </a:ext>
            </a:extLst>
          </xdr:cNvPr>
          <xdr:cNvSpPr>
            <a:spLocks/>
          </xdr:cNvSpPr>
        </xdr:nvSpPr>
        <xdr:spPr bwMode="auto">
          <a:xfrm>
            <a:off x="12756" y="21141"/>
            <a:ext cx="1282" cy="1777"/>
          </a:xfrm>
          <a:custGeom>
            <a:avLst/>
            <a:gdLst>
              <a:gd name="T0" fmla="*/ 111887 w 128190"/>
              <a:gd name="T1" fmla="*/ 172557 h 177667"/>
              <a:gd name="T2" fmla="*/ 111887 w 128190"/>
              <a:gd name="T3" fmla="*/ 15180 h 177667"/>
              <a:gd name="T4" fmla="*/ 100642 w 128190"/>
              <a:gd name="T5" fmla="*/ 15180 h 177667"/>
              <a:gd name="T6" fmla="*/ 100642 w 128190"/>
              <a:gd name="T7" fmla="*/ 1687 h 177667"/>
              <a:gd name="T8" fmla="*/ 28674 w 128190"/>
              <a:gd name="T9" fmla="*/ 1687 h 177667"/>
              <a:gd name="T10" fmla="*/ 28674 w 128190"/>
              <a:gd name="T11" fmla="*/ 15180 h 177667"/>
              <a:gd name="T12" fmla="*/ 17429 w 128190"/>
              <a:gd name="T13" fmla="*/ 15180 h 177667"/>
              <a:gd name="T14" fmla="*/ 17429 w 128190"/>
              <a:gd name="T15" fmla="*/ 172557 h 177667"/>
              <a:gd name="T16" fmla="*/ 1687 w 128190"/>
              <a:gd name="T17" fmla="*/ 172557 h 177667"/>
              <a:gd name="T18" fmla="*/ 1687 w 128190"/>
              <a:gd name="T19" fmla="*/ 177055 h 177667"/>
              <a:gd name="T20" fmla="*/ 127629 w 128190"/>
              <a:gd name="T21" fmla="*/ 177055 h 177667"/>
              <a:gd name="T22" fmla="*/ 127629 w 128190"/>
              <a:gd name="T23" fmla="*/ 172557 h 177667"/>
              <a:gd name="T24" fmla="*/ 33172 w 128190"/>
              <a:gd name="T25" fmla="*/ 6185 h 177667"/>
              <a:gd name="T26" fmla="*/ 96144 w 128190"/>
              <a:gd name="T27" fmla="*/ 6185 h 177667"/>
              <a:gd name="T28" fmla="*/ 96144 w 128190"/>
              <a:gd name="T29" fmla="*/ 15180 h 177667"/>
              <a:gd name="T30" fmla="*/ 33172 w 128190"/>
              <a:gd name="T31" fmla="*/ 15180 h 177667"/>
              <a:gd name="T32" fmla="*/ 21927 w 128190"/>
              <a:gd name="T33" fmla="*/ 19678 h 177667"/>
              <a:gd name="T34" fmla="*/ 107389 w 128190"/>
              <a:gd name="T35" fmla="*/ 19678 h 177667"/>
              <a:gd name="T36" fmla="*/ 107389 w 128190"/>
              <a:gd name="T37" fmla="*/ 172557 h 177667"/>
              <a:gd name="T38" fmla="*/ 69156 w 128190"/>
              <a:gd name="T39" fmla="*/ 172557 h 177667"/>
              <a:gd name="T40" fmla="*/ 69156 w 128190"/>
              <a:gd name="T41" fmla="*/ 147870 h 177667"/>
              <a:gd name="T42" fmla="*/ 60160 w 128190"/>
              <a:gd name="T43" fmla="*/ 147870 h 177667"/>
              <a:gd name="T44" fmla="*/ 60160 w 128190"/>
              <a:gd name="T45" fmla="*/ 172557 h 177667"/>
              <a:gd name="T46" fmla="*/ 21927 w 128190"/>
              <a:gd name="T47" fmla="*/ 172557 h 177667"/>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128190" h="177667">
                <a:moveTo>
                  <a:pt x="111886" y="172556"/>
                </a:moveTo>
                <a:lnTo>
                  <a:pt x="111886" y="15180"/>
                </a:lnTo>
                <a:lnTo>
                  <a:pt x="100641" y="15180"/>
                </a:lnTo>
                <a:lnTo>
                  <a:pt x="100641" y="1687"/>
                </a:lnTo>
                <a:lnTo>
                  <a:pt x="28674" y="1687"/>
                </a:lnTo>
                <a:lnTo>
                  <a:pt x="28674" y="15180"/>
                </a:lnTo>
                <a:lnTo>
                  <a:pt x="17429" y="15180"/>
                </a:lnTo>
                <a:lnTo>
                  <a:pt x="17429" y="172556"/>
                </a:lnTo>
                <a:lnTo>
                  <a:pt x="1687" y="172556"/>
                </a:lnTo>
                <a:lnTo>
                  <a:pt x="1687" y="177054"/>
                </a:lnTo>
                <a:lnTo>
                  <a:pt x="127628" y="177054"/>
                </a:lnTo>
                <a:lnTo>
                  <a:pt x="127628" y="172556"/>
                </a:lnTo>
                <a:lnTo>
                  <a:pt x="111886" y="172556"/>
                </a:lnTo>
                <a:close/>
                <a:moveTo>
                  <a:pt x="33172" y="6185"/>
                </a:moveTo>
                <a:lnTo>
                  <a:pt x="96143" y="6185"/>
                </a:lnTo>
                <a:lnTo>
                  <a:pt x="96143" y="15180"/>
                </a:lnTo>
                <a:lnTo>
                  <a:pt x="33172" y="15180"/>
                </a:lnTo>
                <a:lnTo>
                  <a:pt x="33172" y="6185"/>
                </a:lnTo>
                <a:close/>
                <a:moveTo>
                  <a:pt x="21927" y="19678"/>
                </a:moveTo>
                <a:lnTo>
                  <a:pt x="107388" y="19678"/>
                </a:lnTo>
                <a:lnTo>
                  <a:pt x="107388" y="172556"/>
                </a:lnTo>
                <a:lnTo>
                  <a:pt x="69155" y="172556"/>
                </a:lnTo>
                <a:lnTo>
                  <a:pt x="69155" y="147869"/>
                </a:lnTo>
                <a:lnTo>
                  <a:pt x="60160" y="147869"/>
                </a:lnTo>
                <a:lnTo>
                  <a:pt x="60160" y="172556"/>
                </a:lnTo>
                <a:lnTo>
                  <a:pt x="21927" y="172556"/>
                </a:lnTo>
                <a:lnTo>
                  <a:pt x="21927" y="19678"/>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6" name="Freeform: Shape 13">
            <a:extLst>
              <a:ext uri="{FF2B5EF4-FFF2-40B4-BE49-F238E27FC236}">
                <a16:creationId xmlns:a16="http://schemas.microsoft.com/office/drawing/2014/main" id="{95C06BCE-2237-5842-3BA7-02E122C4BD79}"/>
              </a:ext>
            </a:extLst>
          </xdr:cNvPr>
          <xdr:cNvSpPr>
            <a:spLocks/>
          </xdr:cNvSpPr>
        </xdr:nvSpPr>
        <xdr:spPr bwMode="auto">
          <a:xfrm>
            <a:off x="13116"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Freeform: Shape 14">
            <a:extLst>
              <a:ext uri="{FF2B5EF4-FFF2-40B4-BE49-F238E27FC236}">
                <a16:creationId xmlns:a16="http://schemas.microsoft.com/office/drawing/2014/main" id="{D8C2CDCB-E595-A5FC-754B-8242C8A90746}"/>
              </a:ext>
            </a:extLst>
          </xdr:cNvPr>
          <xdr:cNvSpPr>
            <a:spLocks/>
          </xdr:cNvSpPr>
        </xdr:nvSpPr>
        <xdr:spPr bwMode="auto">
          <a:xfrm>
            <a:off x="13116"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8" name="Freeform: Shape 15">
            <a:extLst>
              <a:ext uri="{FF2B5EF4-FFF2-40B4-BE49-F238E27FC236}">
                <a16:creationId xmlns:a16="http://schemas.microsoft.com/office/drawing/2014/main" id="{181DF037-97DE-F05A-6038-5E8E372EE0A7}"/>
              </a:ext>
            </a:extLst>
          </xdr:cNvPr>
          <xdr:cNvSpPr>
            <a:spLocks/>
          </xdr:cNvSpPr>
        </xdr:nvSpPr>
        <xdr:spPr bwMode="auto">
          <a:xfrm>
            <a:off x="13116"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Freeform: Shape 16">
            <a:extLst>
              <a:ext uri="{FF2B5EF4-FFF2-40B4-BE49-F238E27FC236}">
                <a16:creationId xmlns:a16="http://schemas.microsoft.com/office/drawing/2014/main" id="{0EC5D84E-F2E8-A2EC-8961-3EBA7EBA5B9A}"/>
              </a:ext>
            </a:extLst>
          </xdr:cNvPr>
          <xdr:cNvSpPr>
            <a:spLocks/>
          </xdr:cNvSpPr>
        </xdr:nvSpPr>
        <xdr:spPr bwMode="auto">
          <a:xfrm>
            <a:off x="13116"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Freeform: Shape 17">
            <a:extLst>
              <a:ext uri="{FF2B5EF4-FFF2-40B4-BE49-F238E27FC236}">
                <a16:creationId xmlns:a16="http://schemas.microsoft.com/office/drawing/2014/main" id="{4531D499-5C78-D88B-11A7-1F6861A27292}"/>
              </a:ext>
            </a:extLst>
          </xdr:cNvPr>
          <xdr:cNvSpPr>
            <a:spLocks/>
          </xdr:cNvSpPr>
        </xdr:nvSpPr>
        <xdr:spPr bwMode="auto">
          <a:xfrm>
            <a:off x="13341"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Freeform: Shape 18">
            <a:extLst>
              <a:ext uri="{FF2B5EF4-FFF2-40B4-BE49-F238E27FC236}">
                <a16:creationId xmlns:a16="http://schemas.microsoft.com/office/drawing/2014/main" id="{83367F60-5401-0CDA-039B-8271C5C10141}"/>
              </a:ext>
            </a:extLst>
          </xdr:cNvPr>
          <xdr:cNvSpPr>
            <a:spLocks/>
          </xdr:cNvSpPr>
        </xdr:nvSpPr>
        <xdr:spPr bwMode="auto">
          <a:xfrm>
            <a:off x="13341"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Freeform: Shape 19">
            <a:extLst>
              <a:ext uri="{FF2B5EF4-FFF2-40B4-BE49-F238E27FC236}">
                <a16:creationId xmlns:a16="http://schemas.microsoft.com/office/drawing/2014/main" id="{2BAA4A51-8419-D9A3-FAC3-713CBADD9AF2}"/>
              </a:ext>
            </a:extLst>
          </xdr:cNvPr>
          <xdr:cNvSpPr>
            <a:spLocks/>
          </xdr:cNvSpPr>
        </xdr:nvSpPr>
        <xdr:spPr bwMode="auto">
          <a:xfrm>
            <a:off x="13566" y="2260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3" name="Freeform: Shape 20">
            <a:extLst>
              <a:ext uri="{FF2B5EF4-FFF2-40B4-BE49-F238E27FC236}">
                <a16:creationId xmlns:a16="http://schemas.microsoft.com/office/drawing/2014/main" id="{CB916B20-AE5C-0423-9647-6BECB96DCFA4}"/>
              </a:ext>
            </a:extLst>
          </xdr:cNvPr>
          <xdr:cNvSpPr>
            <a:spLocks/>
          </xdr:cNvSpPr>
        </xdr:nvSpPr>
        <xdr:spPr bwMode="auto">
          <a:xfrm>
            <a:off x="13566"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Freeform: Shape 21">
            <a:extLst>
              <a:ext uri="{FF2B5EF4-FFF2-40B4-BE49-F238E27FC236}">
                <a16:creationId xmlns:a16="http://schemas.microsoft.com/office/drawing/2014/main" id="{409EA2E1-B9C9-3BCE-667B-CB90214ECEFF}"/>
              </a:ext>
            </a:extLst>
          </xdr:cNvPr>
          <xdr:cNvSpPr>
            <a:spLocks/>
          </xdr:cNvSpPr>
        </xdr:nvSpPr>
        <xdr:spPr bwMode="auto">
          <a:xfrm>
            <a:off x="13341"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Freeform: Shape 22">
            <a:extLst>
              <a:ext uri="{FF2B5EF4-FFF2-40B4-BE49-F238E27FC236}">
                <a16:creationId xmlns:a16="http://schemas.microsoft.com/office/drawing/2014/main" id="{C228CBF1-50DA-DF7C-A9EA-FCE469D1733B}"/>
              </a:ext>
            </a:extLst>
          </xdr:cNvPr>
          <xdr:cNvSpPr>
            <a:spLocks/>
          </xdr:cNvSpPr>
        </xdr:nvSpPr>
        <xdr:spPr bwMode="auto">
          <a:xfrm>
            <a:off x="13341"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Freeform: Shape 23">
            <a:extLst>
              <a:ext uri="{FF2B5EF4-FFF2-40B4-BE49-F238E27FC236}">
                <a16:creationId xmlns:a16="http://schemas.microsoft.com/office/drawing/2014/main" id="{643B464E-B97F-84BA-77A3-2C4F4A1B5AF3}"/>
              </a:ext>
            </a:extLst>
          </xdr:cNvPr>
          <xdr:cNvSpPr>
            <a:spLocks/>
          </xdr:cNvSpPr>
        </xdr:nvSpPr>
        <xdr:spPr bwMode="auto">
          <a:xfrm>
            <a:off x="13341"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Freeform: Shape 24">
            <a:extLst>
              <a:ext uri="{FF2B5EF4-FFF2-40B4-BE49-F238E27FC236}">
                <a16:creationId xmlns:a16="http://schemas.microsoft.com/office/drawing/2014/main" id="{D50D96FC-7902-1ECE-5007-65729FD0DC21}"/>
              </a:ext>
            </a:extLst>
          </xdr:cNvPr>
          <xdr:cNvSpPr>
            <a:spLocks/>
          </xdr:cNvSpPr>
        </xdr:nvSpPr>
        <xdr:spPr bwMode="auto">
          <a:xfrm>
            <a:off x="13116" y="21479"/>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Freeform: Shape 25">
            <a:extLst>
              <a:ext uri="{FF2B5EF4-FFF2-40B4-BE49-F238E27FC236}">
                <a16:creationId xmlns:a16="http://schemas.microsoft.com/office/drawing/2014/main" id="{995942B6-C533-68B8-7E5F-72338FE54B22}"/>
              </a:ext>
            </a:extLst>
          </xdr:cNvPr>
          <xdr:cNvSpPr>
            <a:spLocks/>
          </xdr:cNvSpPr>
        </xdr:nvSpPr>
        <xdr:spPr bwMode="auto">
          <a:xfrm>
            <a:off x="13116" y="2260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Freeform: Shape 26">
            <a:extLst>
              <a:ext uri="{FF2B5EF4-FFF2-40B4-BE49-F238E27FC236}">
                <a16:creationId xmlns:a16="http://schemas.microsoft.com/office/drawing/2014/main" id="{CDB684F0-0609-0D34-DFD4-4AC3BEA94FA3}"/>
              </a:ext>
            </a:extLst>
          </xdr:cNvPr>
          <xdr:cNvSpPr>
            <a:spLocks/>
          </xdr:cNvSpPr>
        </xdr:nvSpPr>
        <xdr:spPr bwMode="auto">
          <a:xfrm>
            <a:off x="13566" y="2192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Freeform: Shape 27">
            <a:extLst>
              <a:ext uri="{FF2B5EF4-FFF2-40B4-BE49-F238E27FC236}">
                <a16:creationId xmlns:a16="http://schemas.microsoft.com/office/drawing/2014/main" id="{0C1F8EB9-80AB-6CE4-5205-3086FC61A43B}"/>
              </a:ext>
            </a:extLst>
          </xdr:cNvPr>
          <xdr:cNvSpPr>
            <a:spLocks/>
          </xdr:cNvSpPr>
        </xdr:nvSpPr>
        <xdr:spPr bwMode="auto">
          <a:xfrm>
            <a:off x="13566" y="22153"/>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Freeform: Shape 28">
            <a:extLst>
              <a:ext uri="{FF2B5EF4-FFF2-40B4-BE49-F238E27FC236}">
                <a16:creationId xmlns:a16="http://schemas.microsoft.com/office/drawing/2014/main" id="{08E1B19F-69D7-E916-0C53-3EF54252B79E}"/>
              </a:ext>
            </a:extLst>
          </xdr:cNvPr>
          <xdr:cNvSpPr>
            <a:spLocks/>
          </xdr:cNvSpPr>
        </xdr:nvSpPr>
        <xdr:spPr bwMode="auto">
          <a:xfrm>
            <a:off x="13566" y="22378"/>
            <a:ext cx="112" cy="158"/>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Freeform: Shape 29">
            <a:extLst>
              <a:ext uri="{FF2B5EF4-FFF2-40B4-BE49-F238E27FC236}">
                <a16:creationId xmlns:a16="http://schemas.microsoft.com/office/drawing/2014/main" id="{223719B6-4BD1-89B9-D1DB-6C6439164C44}"/>
              </a:ext>
            </a:extLst>
          </xdr:cNvPr>
          <xdr:cNvSpPr>
            <a:spLocks/>
          </xdr:cNvSpPr>
        </xdr:nvSpPr>
        <xdr:spPr bwMode="auto">
          <a:xfrm>
            <a:off x="13566" y="21704"/>
            <a:ext cx="112" cy="157"/>
          </a:xfrm>
          <a:custGeom>
            <a:avLst/>
            <a:gdLst>
              <a:gd name="T0" fmla="*/ 1687 w 11244"/>
              <a:gd name="T1" fmla="*/ 1687 h 15742"/>
              <a:gd name="T2" fmla="*/ 10684 w 11244"/>
              <a:gd name="T3" fmla="*/ 1687 h 15742"/>
              <a:gd name="T4" fmla="*/ 10684 w 11244"/>
              <a:gd name="T5" fmla="*/ 15181 h 15742"/>
              <a:gd name="T6" fmla="*/ 1687 w 11244"/>
              <a:gd name="T7" fmla="*/ 15181 h 15742"/>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1244" h="15742">
                <a:moveTo>
                  <a:pt x="1687" y="1687"/>
                </a:moveTo>
                <a:lnTo>
                  <a:pt x="10683" y="1687"/>
                </a:lnTo>
                <a:lnTo>
                  <a:pt x="10683" y="15180"/>
                </a:lnTo>
                <a:lnTo>
                  <a:pt x="1687" y="15180"/>
                </a:lnTo>
                <a:lnTo>
                  <a:pt x="1687" y="1687"/>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440205</xdr:colOff>
      <xdr:row>3</xdr:row>
      <xdr:rowOff>56040</xdr:rowOff>
    </xdr:from>
    <xdr:to>
      <xdr:col>0</xdr:col>
      <xdr:colOff>615952</xdr:colOff>
      <xdr:row>3</xdr:row>
      <xdr:rowOff>175672</xdr:rowOff>
    </xdr:to>
    <xdr:grpSp>
      <xdr:nvGrpSpPr>
        <xdr:cNvPr id="6" name="Betrieb_Adresse_2" descr="Envelope outline">
          <a:extLst>
            <a:ext uri="{FF2B5EF4-FFF2-40B4-BE49-F238E27FC236}">
              <a16:creationId xmlns:a16="http://schemas.microsoft.com/office/drawing/2014/main" id="{F74A7A12-48C4-723A-7871-A240E070F88E}"/>
            </a:ext>
          </a:extLst>
        </xdr:cNvPr>
        <xdr:cNvGrpSpPr>
          <a:grpSpLocks/>
        </xdr:cNvGrpSpPr>
      </xdr:nvGrpSpPr>
      <xdr:grpSpPr bwMode="auto">
        <a:xfrm>
          <a:off x="440205" y="627540"/>
          <a:ext cx="175747" cy="119632"/>
          <a:chOff x="12531" y="23662"/>
          <a:chExt cx="1732" cy="1237"/>
        </a:xfrm>
      </xdr:grpSpPr>
      <xdr:sp macro="" textlink="">
        <xdr:nvSpPr>
          <xdr:cNvPr id="13" name="Freeform: Shape 33">
            <a:extLst>
              <a:ext uri="{FF2B5EF4-FFF2-40B4-BE49-F238E27FC236}">
                <a16:creationId xmlns:a16="http://schemas.microsoft.com/office/drawing/2014/main" id="{29B0D2FA-2967-A9BF-DF70-7D5309D7145D}"/>
              </a:ext>
            </a:extLst>
          </xdr:cNvPr>
          <xdr:cNvSpPr>
            <a:spLocks/>
          </xdr:cNvSpPr>
        </xdr:nvSpPr>
        <xdr:spPr bwMode="auto">
          <a:xfrm>
            <a:off x="12531" y="23662"/>
            <a:ext cx="1732" cy="1237"/>
          </a:xfrm>
          <a:custGeom>
            <a:avLst/>
            <a:gdLst>
              <a:gd name="T0" fmla="*/ 1687 w 173169"/>
              <a:gd name="T1" fmla="*/ 1687 h 123692"/>
              <a:gd name="T2" fmla="*/ 1687 w 173169"/>
              <a:gd name="T3" fmla="*/ 123131 h 123692"/>
              <a:gd name="T4" fmla="*/ 172609 w 173169"/>
              <a:gd name="T5" fmla="*/ 123131 h 123692"/>
              <a:gd name="T6" fmla="*/ 172609 w 173169"/>
              <a:gd name="T7" fmla="*/ 1687 h 123692"/>
              <a:gd name="T8" fmla="*/ 91920 w 173169"/>
              <a:gd name="T9" fmla="*/ 79196 h 123692"/>
              <a:gd name="T10" fmla="*/ 82375 w 173169"/>
              <a:gd name="T11" fmla="*/ 79196 h 123692"/>
              <a:gd name="T12" fmla="*/ 9403 w 173169"/>
              <a:gd name="T13" fmla="*/ 6223 h 123692"/>
              <a:gd name="T14" fmla="*/ 9403 w 173169"/>
              <a:gd name="T15" fmla="*/ 6191 h 123692"/>
              <a:gd name="T16" fmla="*/ 9419 w 173169"/>
              <a:gd name="T17" fmla="*/ 6185 h 123692"/>
              <a:gd name="T18" fmla="*/ 164877 w 173169"/>
              <a:gd name="T19" fmla="*/ 6185 h 123692"/>
              <a:gd name="T20" fmla="*/ 164899 w 173169"/>
              <a:gd name="T21" fmla="*/ 6207 h 123692"/>
              <a:gd name="T22" fmla="*/ 164892 w 173169"/>
              <a:gd name="T23" fmla="*/ 6223 h 123692"/>
              <a:gd name="T24" fmla="*/ 59229 w 173169"/>
              <a:gd name="T25" fmla="*/ 62410 h 123692"/>
              <a:gd name="T26" fmla="*/ 6223 w 173169"/>
              <a:gd name="T27" fmla="*/ 115415 h 123692"/>
              <a:gd name="T28" fmla="*/ 6191 w 173169"/>
              <a:gd name="T29" fmla="*/ 115415 h 123692"/>
              <a:gd name="T30" fmla="*/ 6185 w 173169"/>
              <a:gd name="T31" fmla="*/ 115400 h 123692"/>
              <a:gd name="T32" fmla="*/ 6185 w 173169"/>
              <a:gd name="T33" fmla="*/ 9419 h 123692"/>
              <a:gd name="T34" fmla="*/ 6207 w 173169"/>
              <a:gd name="T35" fmla="*/ 9396 h 123692"/>
              <a:gd name="T36" fmla="*/ 6223 w 173169"/>
              <a:gd name="T37" fmla="*/ 9403 h 123692"/>
              <a:gd name="T38" fmla="*/ 62409 w 173169"/>
              <a:gd name="T39" fmla="*/ 65590 h 123692"/>
              <a:gd name="T40" fmla="*/ 79195 w 173169"/>
              <a:gd name="T41" fmla="*/ 82376 h 123692"/>
              <a:gd name="T42" fmla="*/ 95098 w 173169"/>
              <a:gd name="T43" fmla="*/ 82378 h 123692"/>
              <a:gd name="T44" fmla="*/ 95100 w 173169"/>
              <a:gd name="T45" fmla="*/ 82376 h 123692"/>
              <a:gd name="T46" fmla="*/ 111887 w 173169"/>
              <a:gd name="T47" fmla="*/ 65590 h 123692"/>
              <a:gd name="T48" fmla="*/ 164892 w 173169"/>
              <a:gd name="T49" fmla="*/ 118595 h 123692"/>
              <a:gd name="T50" fmla="*/ 164892 w 173169"/>
              <a:gd name="T51" fmla="*/ 118627 h 123692"/>
              <a:gd name="T52" fmla="*/ 164877 w 173169"/>
              <a:gd name="T53" fmla="*/ 118634 h 123692"/>
              <a:gd name="T54" fmla="*/ 9419 w 173169"/>
              <a:gd name="T55" fmla="*/ 118634 h 123692"/>
              <a:gd name="T56" fmla="*/ 9396 w 173169"/>
              <a:gd name="T57" fmla="*/ 118611 h 123692"/>
              <a:gd name="T58" fmla="*/ 9403 w 173169"/>
              <a:gd name="T59" fmla="*/ 118595 h 123692"/>
              <a:gd name="T60" fmla="*/ 115067 w 173169"/>
              <a:gd name="T61" fmla="*/ 62410 h 123692"/>
              <a:gd name="T62" fmla="*/ 168072 w 173169"/>
              <a:gd name="T63" fmla="*/ 9403 h 123692"/>
              <a:gd name="T64" fmla="*/ 168104 w 173169"/>
              <a:gd name="T65" fmla="*/ 9403 h 123692"/>
              <a:gd name="T66" fmla="*/ 168111 w 173169"/>
              <a:gd name="T67" fmla="*/ 9419 h 123692"/>
              <a:gd name="T68" fmla="*/ 168111 w 173169"/>
              <a:gd name="T69" fmla="*/ 115400 h 123692"/>
              <a:gd name="T70" fmla="*/ 168088 w 173169"/>
              <a:gd name="T71" fmla="*/ 115422 h 123692"/>
              <a:gd name="T72" fmla="*/ 168072 w 173169"/>
              <a:gd name="T73" fmla="*/ 115415 h 12369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173169" h="123692">
                <a:moveTo>
                  <a:pt x="1687" y="1687"/>
                </a:moveTo>
                <a:lnTo>
                  <a:pt x="1687" y="123130"/>
                </a:lnTo>
                <a:lnTo>
                  <a:pt x="172608" y="123130"/>
                </a:lnTo>
                <a:lnTo>
                  <a:pt x="172608" y="1687"/>
                </a:lnTo>
                <a:lnTo>
                  <a:pt x="1687" y="1687"/>
                </a:lnTo>
                <a:close/>
                <a:moveTo>
                  <a:pt x="91919" y="79195"/>
                </a:moveTo>
                <a:cubicBezTo>
                  <a:pt x="89279" y="81819"/>
                  <a:pt x="85015" y="81819"/>
                  <a:pt x="82375" y="79195"/>
                </a:cubicBezTo>
                <a:lnTo>
                  <a:pt x="9403" y="6223"/>
                </a:lnTo>
                <a:cubicBezTo>
                  <a:pt x="9394" y="6214"/>
                  <a:pt x="9394" y="6200"/>
                  <a:pt x="9403" y="6191"/>
                </a:cubicBezTo>
                <a:cubicBezTo>
                  <a:pt x="9407" y="6187"/>
                  <a:pt x="9413" y="6185"/>
                  <a:pt x="9419" y="6185"/>
                </a:cubicBezTo>
                <a:lnTo>
                  <a:pt x="164876" y="6185"/>
                </a:lnTo>
                <a:cubicBezTo>
                  <a:pt x="164888" y="6185"/>
                  <a:pt x="164898" y="6195"/>
                  <a:pt x="164898" y="6207"/>
                </a:cubicBezTo>
                <a:cubicBezTo>
                  <a:pt x="164898" y="6213"/>
                  <a:pt x="164895" y="6219"/>
                  <a:pt x="164891" y="6223"/>
                </a:cubicBezTo>
                <a:lnTo>
                  <a:pt x="91919" y="79195"/>
                </a:lnTo>
                <a:close/>
                <a:moveTo>
                  <a:pt x="59229" y="62409"/>
                </a:moveTo>
                <a:lnTo>
                  <a:pt x="6223" y="115414"/>
                </a:lnTo>
                <a:cubicBezTo>
                  <a:pt x="6214" y="115423"/>
                  <a:pt x="6200" y="115423"/>
                  <a:pt x="6191" y="115414"/>
                </a:cubicBezTo>
                <a:cubicBezTo>
                  <a:pt x="6187" y="115410"/>
                  <a:pt x="6185" y="115404"/>
                  <a:pt x="6185" y="115399"/>
                </a:cubicBezTo>
                <a:lnTo>
                  <a:pt x="6185" y="9419"/>
                </a:lnTo>
                <a:cubicBezTo>
                  <a:pt x="6185" y="9406"/>
                  <a:pt x="6195" y="9396"/>
                  <a:pt x="6207" y="9396"/>
                </a:cubicBezTo>
                <a:cubicBezTo>
                  <a:pt x="6213" y="9397"/>
                  <a:pt x="6219" y="9399"/>
                  <a:pt x="6223" y="9403"/>
                </a:cubicBezTo>
                <a:lnTo>
                  <a:pt x="59229" y="62409"/>
                </a:lnTo>
                <a:close/>
                <a:moveTo>
                  <a:pt x="62409" y="65589"/>
                </a:moveTo>
                <a:lnTo>
                  <a:pt x="79195" y="82375"/>
                </a:lnTo>
                <a:cubicBezTo>
                  <a:pt x="83586" y="86767"/>
                  <a:pt x="90705" y="86768"/>
                  <a:pt x="95097" y="82377"/>
                </a:cubicBezTo>
                <a:cubicBezTo>
                  <a:pt x="95098" y="82376"/>
                  <a:pt x="95099" y="82376"/>
                  <a:pt x="95099" y="82375"/>
                </a:cubicBezTo>
                <a:lnTo>
                  <a:pt x="111886" y="65589"/>
                </a:lnTo>
                <a:lnTo>
                  <a:pt x="164891" y="118594"/>
                </a:lnTo>
                <a:cubicBezTo>
                  <a:pt x="164900" y="118603"/>
                  <a:pt x="164900" y="118617"/>
                  <a:pt x="164891" y="118626"/>
                </a:cubicBezTo>
                <a:cubicBezTo>
                  <a:pt x="164887" y="118630"/>
                  <a:pt x="164881" y="118633"/>
                  <a:pt x="164876" y="118633"/>
                </a:cubicBezTo>
                <a:lnTo>
                  <a:pt x="9419" y="118633"/>
                </a:lnTo>
                <a:cubicBezTo>
                  <a:pt x="9406" y="118632"/>
                  <a:pt x="9396" y="118622"/>
                  <a:pt x="9396" y="118610"/>
                </a:cubicBezTo>
                <a:cubicBezTo>
                  <a:pt x="9397" y="118604"/>
                  <a:pt x="9399" y="118598"/>
                  <a:pt x="9403" y="118594"/>
                </a:cubicBezTo>
                <a:lnTo>
                  <a:pt x="62409" y="65589"/>
                </a:lnTo>
                <a:close/>
                <a:moveTo>
                  <a:pt x="115066" y="62409"/>
                </a:moveTo>
                <a:lnTo>
                  <a:pt x="168071" y="9403"/>
                </a:lnTo>
                <a:cubicBezTo>
                  <a:pt x="168080" y="9394"/>
                  <a:pt x="168095" y="9394"/>
                  <a:pt x="168103" y="9403"/>
                </a:cubicBezTo>
                <a:cubicBezTo>
                  <a:pt x="168107" y="9407"/>
                  <a:pt x="168110" y="9413"/>
                  <a:pt x="168110" y="9419"/>
                </a:cubicBezTo>
                <a:lnTo>
                  <a:pt x="168110" y="115399"/>
                </a:lnTo>
                <a:cubicBezTo>
                  <a:pt x="168109" y="115411"/>
                  <a:pt x="168099" y="115421"/>
                  <a:pt x="168087" y="115421"/>
                </a:cubicBezTo>
                <a:cubicBezTo>
                  <a:pt x="168081" y="115421"/>
                  <a:pt x="168075" y="115418"/>
                  <a:pt x="168071" y="115414"/>
                </a:cubicBezTo>
                <a:lnTo>
                  <a:pt x="115066" y="62409"/>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311994</xdr:colOff>
      <xdr:row>2</xdr:row>
      <xdr:rowOff>31073</xdr:rowOff>
    </xdr:from>
    <xdr:to>
      <xdr:col>5</xdr:col>
      <xdr:colOff>473942</xdr:colOff>
      <xdr:row>2</xdr:row>
      <xdr:rowOff>185518</xdr:rowOff>
    </xdr:to>
    <xdr:grpSp>
      <xdr:nvGrpSpPr>
        <xdr:cNvPr id="52" name="Betrieb_Zuordnung" descr="Factory outline">
          <a:extLst>
            <a:ext uri="{FF2B5EF4-FFF2-40B4-BE49-F238E27FC236}">
              <a16:creationId xmlns:a16="http://schemas.microsoft.com/office/drawing/2014/main" id="{3658969B-42ED-4F0C-9231-EEFAC7BE254D}"/>
            </a:ext>
          </a:extLst>
        </xdr:cNvPr>
        <xdr:cNvGrpSpPr>
          <a:grpSpLocks/>
        </xdr:cNvGrpSpPr>
      </xdr:nvGrpSpPr>
      <xdr:grpSpPr bwMode="auto">
        <a:xfrm>
          <a:off x="4550619" y="412073"/>
          <a:ext cx="161948" cy="154445"/>
          <a:chOff x="12599" y="29494"/>
          <a:chExt cx="1596" cy="1597"/>
        </a:xfrm>
      </xdr:grpSpPr>
      <xdr:sp macro="" textlink="">
        <xdr:nvSpPr>
          <xdr:cNvPr id="53" name="Freeform: Shape 40">
            <a:extLst>
              <a:ext uri="{FF2B5EF4-FFF2-40B4-BE49-F238E27FC236}">
                <a16:creationId xmlns:a16="http://schemas.microsoft.com/office/drawing/2014/main" id="{312B72BC-D182-E6D0-5732-7430740A6035}"/>
              </a:ext>
            </a:extLst>
          </xdr:cNvPr>
          <xdr:cNvSpPr>
            <a:spLocks/>
          </xdr:cNvSpPr>
        </xdr:nvSpPr>
        <xdr:spPr bwMode="auto">
          <a:xfrm>
            <a:off x="12599" y="29494"/>
            <a:ext cx="1596" cy="1597"/>
          </a:xfrm>
          <a:custGeom>
            <a:avLst/>
            <a:gdLst>
              <a:gd name="T0" fmla="*/ 98392 w 159676"/>
              <a:gd name="T1" fmla="*/ 92443 h 159676"/>
              <a:gd name="T2" fmla="*/ 98392 w 159676"/>
              <a:gd name="T3" fmla="*/ 60958 h 159676"/>
              <a:gd name="T4" fmla="*/ 37416 w 159676"/>
              <a:gd name="T5" fmla="*/ 92576 h 159676"/>
              <a:gd name="T6" fmla="*/ 30766 w 159676"/>
              <a:gd name="T7" fmla="*/ 1687 h 159676"/>
              <a:gd name="T8" fmla="*/ 8591 w 159676"/>
              <a:gd name="T9" fmla="*/ 1687 h 159676"/>
              <a:gd name="T10" fmla="*/ 1687 w 159676"/>
              <a:gd name="T11" fmla="*/ 96143 h 159676"/>
              <a:gd name="T12" fmla="*/ 1687 w 159676"/>
              <a:gd name="T13" fmla="*/ 159114 h 159676"/>
              <a:gd name="T14" fmla="*/ 159114 w 159676"/>
              <a:gd name="T15" fmla="*/ 159114 h 159676"/>
              <a:gd name="T16" fmla="*/ 159114 w 159676"/>
              <a:gd name="T17" fmla="*/ 60958 h 159676"/>
              <a:gd name="T18" fmla="*/ 26583 w 159676"/>
              <a:gd name="T19" fmla="*/ 6185 h 159676"/>
              <a:gd name="T20" fmla="*/ 27406 w 159676"/>
              <a:gd name="T21" fmla="*/ 17429 h 159676"/>
              <a:gd name="T22" fmla="*/ 11951 w 159676"/>
              <a:gd name="T23" fmla="*/ 17429 h 159676"/>
              <a:gd name="T24" fmla="*/ 12774 w 159676"/>
              <a:gd name="T25" fmla="*/ 6185 h 159676"/>
              <a:gd name="T26" fmla="*/ 11620 w 159676"/>
              <a:gd name="T27" fmla="*/ 21927 h 159676"/>
              <a:gd name="T28" fmla="*/ 27736 w 159676"/>
              <a:gd name="T29" fmla="*/ 21927 h 159676"/>
              <a:gd name="T30" fmla="*/ 33001 w 159676"/>
              <a:gd name="T31" fmla="*/ 93894 h 159676"/>
              <a:gd name="T32" fmla="*/ 6356 w 159676"/>
              <a:gd name="T33" fmla="*/ 93894 h 159676"/>
              <a:gd name="T34" fmla="*/ 36096 w 159676"/>
              <a:gd name="T35" fmla="*/ 98322 h 159676"/>
              <a:gd name="T36" fmla="*/ 93894 w 159676"/>
              <a:gd name="T37" fmla="*/ 68357 h 159676"/>
              <a:gd name="T38" fmla="*/ 93894 w 159676"/>
              <a:gd name="T39" fmla="*/ 99843 h 159676"/>
              <a:gd name="T40" fmla="*/ 154616 w 159676"/>
              <a:gd name="T41" fmla="*/ 68357 h 159676"/>
              <a:gd name="T42" fmla="*/ 154616 w 159676"/>
              <a:gd name="T43" fmla="*/ 154616 h 159676"/>
              <a:gd name="T44" fmla="*/ 6185 w 159676"/>
              <a:gd name="T45" fmla="*/ 154616 h 159676"/>
              <a:gd name="T46" fmla="*/ 6185 w 159676"/>
              <a:gd name="T47" fmla="*/ 98392 h 159676"/>
              <a:gd name="T48" fmla="*/ 33330 w 159676"/>
              <a:gd name="T49" fmla="*/ 98392 h 15967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59676" h="159676">
                <a:moveTo>
                  <a:pt x="98392" y="92443"/>
                </a:moveTo>
                <a:lnTo>
                  <a:pt x="98392" y="60958"/>
                </a:lnTo>
                <a:lnTo>
                  <a:pt x="37416" y="92576"/>
                </a:lnTo>
                <a:lnTo>
                  <a:pt x="30766" y="1687"/>
                </a:lnTo>
                <a:lnTo>
                  <a:pt x="8591" y="1687"/>
                </a:lnTo>
                <a:lnTo>
                  <a:pt x="1687" y="96143"/>
                </a:lnTo>
                <a:lnTo>
                  <a:pt x="1687" y="159114"/>
                </a:lnTo>
                <a:lnTo>
                  <a:pt x="159114" y="159114"/>
                </a:lnTo>
                <a:lnTo>
                  <a:pt x="159114" y="60958"/>
                </a:lnTo>
                <a:lnTo>
                  <a:pt x="98392" y="92443"/>
                </a:lnTo>
                <a:close/>
                <a:moveTo>
                  <a:pt x="26583" y="6185"/>
                </a:moveTo>
                <a:lnTo>
                  <a:pt x="27406" y="17429"/>
                </a:lnTo>
                <a:lnTo>
                  <a:pt x="11951" y="17429"/>
                </a:lnTo>
                <a:lnTo>
                  <a:pt x="12774" y="6185"/>
                </a:lnTo>
                <a:lnTo>
                  <a:pt x="26583" y="6185"/>
                </a:lnTo>
                <a:close/>
                <a:moveTo>
                  <a:pt x="11620" y="21927"/>
                </a:moveTo>
                <a:lnTo>
                  <a:pt x="27736" y="21927"/>
                </a:lnTo>
                <a:lnTo>
                  <a:pt x="33001" y="93894"/>
                </a:lnTo>
                <a:lnTo>
                  <a:pt x="6356" y="93894"/>
                </a:lnTo>
                <a:lnTo>
                  <a:pt x="11620" y="21927"/>
                </a:lnTo>
                <a:close/>
                <a:moveTo>
                  <a:pt x="36096" y="98322"/>
                </a:moveTo>
                <a:lnTo>
                  <a:pt x="93894" y="68357"/>
                </a:lnTo>
                <a:lnTo>
                  <a:pt x="93894" y="99843"/>
                </a:lnTo>
                <a:lnTo>
                  <a:pt x="154616" y="68357"/>
                </a:lnTo>
                <a:lnTo>
                  <a:pt x="154616" y="154616"/>
                </a:lnTo>
                <a:lnTo>
                  <a:pt x="6185" y="154616"/>
                </a:lnTo>
                <a:lnTo>
                  <a:pt x="6185" y="98392"/>
                </a:lnTo>
                <a:lnTo>
                  <a:pt x="33330" y="98392"/>
                </a:lnTo>
                <a:lnTo>
                  <a:pt x="36096" y="98322"/>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Shape 41">
            <a:extLst>
              <a:ext uri="{FF2B5EF4-FFF2-40B4-BE49-F238E27FC236}">
                <a16:creationId xmlns:a16="http://schemas.microsoft.com/office/drawing/2014/main" id="{A9F31470-B993-83E6-4A0F-C49C7E5809A1}"/>
              </a:ext>
            </a:extLst>
          </xdr:cNvPr>
          <xdr:cNvSpPr>
            <a:spLocks/>
          </xdr:cNvSpPr>
        </xdr:nvSpPr>
        <xdr:spPr bwMode="auto">
          <a:xfrm>
            <a:off x="12756" y="30663"/>
            <a:ext cx="382" cy="248"/>
          </a:xfrm>
          <a:custGeom>
            <a:avLst/>
            <a:gdLst>
              <a:gd name="T0" fmla="*/ 1687 w 38232"/>
              <a:gd name="T1" fmla="*/ 24177 h 24738"/>
              <a:gd name="T2" fmla="*/ 37670 w 38232"/>
              <a:gd name="T3" fmla="*/ 24177 h 24738"/>
              <a:gd name="T4" fmla="*/ 37670 w 38232"/>
              <a:gd name="T5" fmla="*/ 1687 h 24738"/>
              <a:gd name="T6" fmla="*/ 1687 w 38232"/>
              <a:gd name="T7" fmla="*/ 1687 h 24738"/>
              <a:gd name="T8" fmla="*/ 33172 w 38232"/>
              <a:gd name="T9" fmla="*/ 19679 h 24738"/>
              <a:gd name="T10" fmla="*/ 21927 w 38232"/>
              <a:gd name="T11" fmla="*/ 19679 h 24738"/>
              <a:gd name="T12" fmla="*/ 21927 w 38232"/>
              <a:gd name="T13" fmla="*/ 6185 h 24738"/>
              <a:gd name="T14" fmla="*/ 33172 w 38232"/>
              <a:gd name="T15" fmla="*/ 6185 h 24738"/>
              <a:gd name="T16" fmla="*/ 6185 w 38232"/>
              <a:gd name="T17" fmla="*/ 6185 h 24738"/>
              <a:gd name="T18" fmla="*/ 17429 w 38232"/>
              <a:gd name="T19" fmla="*/ 6185 h 24738"/>
              <a:gd name="T20" fmla="*/ 17429 w 38232"/>
              <a:gd name="T21" fmla="*/ 19679 h 24738"/>
              <a:gd name="T22" fmla="*/ 6185 w 38232"/>
              <a:gd name="T23" fmla="*/ 19679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1687" y="24176"/>
                </a:moveTo>
                <a:lnTo>
                  <a:pt x="37670" y="24176"/>
                </a:lnTo>
                <a:lnTo>
                  <a:pt x="37670" y="1687"/>
                </a:lnTo>
                <a:lnTo>
                  <a:pt x="1687" y="1687"/>
                </a:lnTo>
                <a:lnTo>
                  <a:pt x="1687" y="24176"/>
                </a:lnTo>
                <a:close/>
                <a:moveTo>
                  <a:pt x="33172" y="19678"/>
                </a:moveTo>
                <a:lnTo>
                  <a:pt x="21927" y="19678"/>
                </a:lnTo>
                <a:lnTo>
                  <a:pt x="21927" y="6185"/>
                </a:lnTo>
                <a:lnTo>
                  <a:pt x="33172" y="6185"/>
                </a:lnTo>
                <a:lnTo>
                  <a:pt x="33172" y="19678"/>
                </a:lnTo>
                <a:close/>
                <a:moveTo>
                  <a:pt x="6185" y="6185"/>
                </a:moveTo>
                <a:lnTo>
                  <a:pt x="17429" y="6185"/>
                </a:lnTo>
                <a:lnTo>
                  <a:pt x="17429" y="19678"/>
                </a:lnTo>
                <a:lnTo>
                  <a:pt x="6185" y="19678"/>
                </a:lnTo>
                <a:lnTo>
                  <a:pt x="6185" y="6185"/>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Shape 42">
            <a:extLst>
              <a:ext uri="{FF2B5EF4-FFF2-40B4-BE49-F238E27FC236}">
                <a16:creationId xmlns:a16="http://schemas.microsoft.com/office/drawing/2014/main" id="{96CA750A-656C-89BA-F37D-AB980C1F85F8}"/>
              </a:ext>
            </a:extLst>
          </xdr:cNvPr>
          <xdr:cNvSpPr>
            <a:spLocks/>
          </xdr:cNvSpPr>
        </xdr:nvSpPr>
        <xdr:spPr bwMode="auto">
          <a:xfrm>
            <a:off x="13206" y="30663"/>
            <a:ext cx="382" cy="248"/>
          </a:xfrm>
          <a:custGeom>
            <a:avLst/>
            <a:gdLst>
              <a:gd name="T0" fmla="*/ 1687 w 38232"/>
              <a:gd name="T1" fmla="*/ 24177 h 24738"/>
              <a:gd name="T2" fmla="*/ 37670 w 38232"/>
              <a:gd name="T3" fmla="*/ 24177 h 24738"/>
              <a:gd name="T4" fmla="*/ 37670 w 38232"/>
              <a:gd name="T5" fmla="*/ 1687 h 24738"/>
              <a:gd name="T6" fmla="*/ 1687 w 38232"/>
              <a:gd name="T7" fmla="*/ 1687 h 24738"/>
              <a:gd name="T8" fmla="*/ 33172 w 38232"/>
              <a:gd name="T9" fmla="*/ 19679 h 24738"/>
              <a:gd name="T10" fmla="*/ 21927 w 38232"/>
              <a:gd name="T11" fmla="*/ 19679 h 24738"/>
              <a:gd name="T12" fmla="*/ 21927 w 38232"/>
              <a:gd name="T13" fmla="*/ 6185 h 24738"/>
              <a:gd name="T14" fmla="*/ 33172 w 38232"/>
              <a:gd name="T15" fmla="*/ 6185 h 24738"/>
              <a:gd name="T16" fmla="*/ 6185 w 38232"/>
              <a:gd name="T17" fmla="*/ 6185 h 24738"/>
              <a:gd name="T18" fmla="*/ 17429 w 38232"/>
              <a:gd name="T19" fmla="*/ 6185 h 24738"/>
              <a:gd name="T20" fmla="*/ 17429 w 38232"/>
              <a:gd name="T21" fmla="*/ 19679 h 24738"/>
              <a:gd name="T22" fmla="*/ 6185 w 38232"/>
              <a:gd name="T23" fmla="*/ 19679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1687" y="24176"/>
                </a:moveTo>
                <a:lnTo>
                  <a:pt x="37670" y="24176"/>
                </a:lnTo>
                <a:lnTo>
                  <a:pt x="37670" y="1687"/>
                </a:lnTo>
                <a:lnTo>
                  <a:pt x="1687" y="1687"/>
                </a:lnTo>
                <a:lnTo>
                  <a:pt x="1687" y="24176"/>
                </a:lnTo>
                <a:close/>
                <a:moveTo>
                  <a:pt x="33172" y="19678"/>
                </a:moveTo>
                <a:lnTo>
                  <a:pt x="21927" y="19678"/>
                </a:lnTo>
                <a:lnTo>
                  <a:pt x="21927" y="6185"/>
                </a:lnTo>
                <a:lnTo>
                  <a:pt x="33172" y="6185"/>
                </a:lnTo>
                <a:lnTo>
                  <a:pt x="33172" y="19678"/>
                </a:lnTo>
                <a:close/>
                <a:moveTo>
                  <a:pt x="6185" y="6185"/>
                </a:moveTo>
                <a:lnTo>
                  <a:pt x="17429" y="6185"/>
                </a:lnTo>
                <a:lnTo>
                  <a:pt x="17429" y="19678"/>
                </a:lnTo>
                <a:lnTo>
                  <a:pt x="6185" y="19678"/>
                </a:lnTo>
                <a:lnTo>
                  <a:pt x="6185" y="6185"/>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Shape 43">
            <a:extLst>
              <a:ext uri="{FF2B5EF4-FFF2-40B4-BE49-F238E27FC236}">
                <a16:creationId xmlns:a16="http://schemas.microsoft.com/office/drawing/2014/main" id="{AA6823E4-AA40-3DD1-29A5-D9FF92AF9501}"/>
              </a:ext>
            </a:extLst>
          </xdr:cNvPr>
          <xdr:cNvSpPr>
            <a:spLocks/>
          </xdr:cNvSpPr>
        </xdr:nvSpPr>
        <xdr:spPr bwMode="auto">
          <a:xfrm>
            <a:off x="13656" y="30663"/>
            <a:ext cx="382" cy="248"/>
          </a:xfrm>
          <a:custGeom>
            <a:avLst/>
            <a:gdLst>
              <a:gd name="T0" fmla="*/ 37670 w 38232"/>
              <a:gd name="T1" fmla="*/ 1687 h 24738"/>
              <a:gd name="T2" fmla="*/ 1687 w 38232"/>
              <a:gd name="T3" fmla="*/ 1687 h 24738"/>
              <a:gd name="T4" fmla="*/ 1687 w 38232"/>
              <a:gd name="T5" fmla="*/ 24177 h 24738"/>
              <a:gd name="T6" fmla="*/ 37670 w 38232"/>
              <a:gd name="T7" fmla="*/ 24177 h 24738"/>
              <a:gd name="T8" fmla="*/ 6185 w 38232"/>
              <a:gd name="T9" fmla="*/ 6185 h 24738"/>
              <a:gd name="T10" fmla="*/ 17429 w 38232"/>
              <a:gd name="T11" fmla="*/ 6185 h 24738"/>
              <a:gd name="T12" fmla="*/ 17429 w 38232"/>
              <a:gd name="T13" fmla="*/ 19679 h 24738"/>
              <a:gd name="T14" fmla="*/ 6185 w 38232"/>
              <a:gd name="T15" fmla="*/ 19679 h 24738"/>
              <a:gd name="T16" fmla="*/ 33172 w 38232"/>
              <a:gd name="T17" fmla="*/ 19679 h 24738"/>
              <a:gd name="T18" fmla="*/ 21927 w 38232"/>
              <a:gd name="T19" fmla="*/ 19679 h 24738"/>
              <a:gd name="T20" fmla="*/ 21927 w 38232"/>
              <a:gd name="T21" fmla="*/ 6185 h 24738"/>
              <a:gd name="T22" fmla="*/ 33172 w 38232"/>
              <a:gd name="T23" fmla="*/ 6185 h 247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8232" h="24738">
                <a:moveTo>
                  <a:pt x="37670" y="1687"/>
                </a:moveTo>
                <a:lnTo>
                  <a:pt x="1687" y="1687"/>
                </a:lnTo>
                <a:lnTo>
                  <a:pt x="1687" y="24176"/>
                </a:lnTo>
                <a:lnTo>
                  <a:pt x="37670" y="24176"/>
                </a:lnTo>
                <a:lnTo>
                  <a:pt x="37670" y="1687"/>
                </a:lnTo>
                <a:close/>
                <a:moveTo>
                  <a:pt x="6185" y="6185"/>
                </a:moveTo>
                <a:lnTo>
                  <a:pt x="17429" y="6185"/>
                </a:lnTo>
                <a:lnTo>
                  <a:pt x="17429" y="19678"/>
                </a:lnTo>
                <a:lnTo>
                  <a:pt x="6185" y="19678"/>
                </a:lnTo>
                <a:lnTo>
                  <a:pt x="6185" y="6185"/>
                </a:lnTo>
                <a:close/>
                <a:moveTo>
                  <a:pt x="33172" y="19678"/>
                </a:moveTo>
                <a:lnTo>
                  <a:pt x="21927" y="19678"/>
                </a:lnTo>
                <a:lnTo>
                  <a:pt x="21927" y="6185"/>
                </a:lnTo>
                <a:lnTo>
                  <a:pt x="33172" y="6185"/>
                </a:lnTo>
                <a:lnTo>
                  <a:pt x="33172" y="19678"/>
                </a:lnTo>
                <a:close/>
              </a:path>
            </a:pathLst>
          </a:custGeom>
          <a:solidFill>
            <a:srgbClr val="A5A5A5"/>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428563</xdr:colOff>
      <xdr:row>6</xdr:row>
      <xdr:rowOff>1</xdr:rowOff>
    </xdr:from>
    <xdr:to>
      <xdr:col>0</xdr:col>
      <xdr:colOff>617702</xdr:colOff>
      <xdr:row>7</xdr:row>
      <xdr:rowOff>7993</xdr:rowOff>
    </xdr:to>
    <xdr:pic>
      <xdr:nvPicPr>
        <xdr:cNvPr id="103" name="Ansprechperson_Name" descr="Employee badge outline">
          <a:extLst>
            <a:ext uri="{FF2B5EF4-FFF2-40B4-BE49-F238E27FC236}">
              <a16:creationId xmlns:a16="http://schemas.microsoft.com/office/drawing/2014/main" id="{C50D8E1A-BE98-9183-A1DA-229AD492CBC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8563" y="952501"/>
          <a:ext cx="189139" cy="198492"/>
        </a:xfrm>
        <a:prstGeom prst="rect">
          <a:avLst/>
        </a:prstGeom>
      </xdr:spPr>
    </xdr:pic>
    <xdr:clientData/>
  </xdr:twoCellAnchor>
  <xdr:twoCellAnchor>
    <xdr:from>
      <xdr:col>5</xdr:col>
      <xdr:colOff>282319</xdr:colOff>
      <xdr:row>7</xdr:row>
      <xdr:rowOff>4918</xdr:rowOff>
    </xdr:from>
    <xdr:to>
      <xdr:col>5</xdr:col>
      <xdr:colOff>488808</xdr:colOff>
      <xdr:row>7</xdr:row>
      <xdr:rowOff>175064</xdr:rowOff>
    </xdr:to>
    <xdr:pic>
      <xdr:nvPicPr>
        <xdr:cNvPr id="104" name="Ansprechperson_Mail" descr="Email outline">
          <a:extLst>
            <a:ext uri="{FF2B5EF4-FFF2-40B4-BE49-F238E27FC236}">
              <a16:creationId xmlns:a16="http://schemas.microsoft.com/office/drawing/2014/main" id="{85671BEF-5226-E122-BD22-986E1AC0AF33}"/>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92319" y="1338418"/>
          <a:ext cx="206489" cy="170146"/>
        </a:xfrm>
        <a:prstGeom prst="rect">
          <a:avLst/>
        </a:prstGeom>
      </xdr:spPr>
    </xdr:pic>
    <xdr:clientData/>
  </xdr:twoCellAnchor>
  <xdr:twoCellAnchor>
    <xdr:from>
      <xdr:col>5</xdr:col>
      <xdr:colOff>282318</xdr:colOff>
      <xdr:row>6</xdr:row>
      <xdr:rowOff>15013</xdr:rowOff>
    </xdr:from>
    <xdr:to>
      <xdr:col>5</xdr:col>
      <xdr:colOff>482853</xdr:colOff>
      <xdr:row>7</xdr:row>
      <xdr:rowOff>33313</xdr:rowOff>
    </xdr:to>
    <xdr:pic>
      <xdr:nvPicPr>
        <xdr:cNvPr id="105" name="Ansprechperson_Telefon" descr="Telephone outline">
          <a:extLst>
            <a:ext uri="{FF2B5EF4-FFF2-40B4-BE49-F238E27FC236}">
              <a16:creationId xmlns:a16="http://schemas.microsoft.com/office/drawing/2014/main" id="{AE6E3AF4-D286-1BC8-2F2D-0CBD966936C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92318" y="1158013"/>
          <a:ext cx="200535" cy="208800"/>
        </a:xfrm>
        <a:prstGeom prst="rect">
          <a:avLst/>
        </a:prstGeom>
      </xdr:spPr>
    </xdr:pic>
    <xdr:clientData/>
  </xdr:twoCellAnchor>
  <xdr:twoCellAnchor>
    <xdr:from>
      <xdr:col>0</xdr:col>
      <xdr:colOff>422413</xdr:colOff>
      <xdr:row>7</xdr:row>
      <xdr:rowOff>23589</xdr:rowOff>
    </xdr:from>
    <xdr:to>
      <xdr:col>0</xdr:col>
      <xdr:colOff>623657</xdr:colOff>
      <xdr:row>8</xdr:row>
      <xdr:rowOff>19889</xdr:rowOff>
    </xdr:to>
    <xdr:pic>
      <xdr:nvPicPr>
        <xdr:cNvPr id="106" name="Ansprechperson_Position" descr="Briefcase outline">
          <a:extLst>
            <a:ext uri="{FF2B5EF4-FFF2-40B4-BE49-F238E27FC236}">
              <a16:creationId xmlns:a16="http://schemas.microsoft.com/office/drawing/2014/main" id="{34CC6E28-04D0-3FB8-F5A0-03A19ACDE825}"/>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413" y="1357089"/>
          <a:ext cx="201244" cy="186800"/>
        </a:xfrm>
        <a:prstGeom prst="rect">
          <a:avLst/>
        </a:prstGeom>
      </xdr:spPr>
    </xdr:pic>
    <xdr:clientData/>
  </xdr:twoCellAnchor>
  <xdr:twoCellAnchor>
    <xdr:from>
      <xdr:col>0</xdr:col>
      <xdr:colOff>428563</xdr:colOff>
      <xdr:row>31</xdr:row>
      <xdr:rowOff>1</xdr:rowOff>
    </xdr:from>
    <xdr:to>
      <xdr:col>0</xdr:col>
      <xdr:colOff>617702</xdr:colOff>
      <xdr:row>32</xdr:row>
      <xdr:rowOff>7993</xdr:rowOff>
    </xdr:to>
    <xdr:pic>
      <xdr:nvPicPr>
        <xdr:cNvPr id="107" name="Ansprechperson_Name" descr="Employee badge outline">
          <a:extLst>
            <a:ext uri="{FF2B5EF4-FFF2-40B4-BE49-F238E27FC236}">
              <a16:creationId xmlns:a16="http://schemas.microsoft.com/office/drawing/2014/main" id="{6B0B3F41-5133-4102-A910-8D0FCBB6D94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8563" y="1143001"/>
          <a:ext cx="189139" cy="198492"/>
        </a:xfrm>
        <a:prstGeom prst="rect">
          <a:avLst/>
        </a:prstGeom>
      </xdr:spPr>
    </xdr:pic>
    <xdr:clientData/>
  </xdr:twoCellAnchor>
  <xdr:twoCellAnchor>
    <xdr:from>
      <xdr:col>5</xdr:col>
      <xdr:colOff>282319</xdr:colOff>
      <xdr:row>32</xdr:row>
      <xdr:rowOff>4918</xdr:rowOff>
    </xdr:from>
    <xdr:to>
      <xdr:col>5</xdr:col>
      <xdr:colOff>488808</xdr:colOff>
      <xdr:row>32</xdr:row>
      <xdr:rowOff>175064</xdr:rowOff>
    </xdr:to>
    <xdr:pic>
      <xdr:nvPicPr>
        <xdr:cNvPr id="108" name="Ansprechperson_Mail" descr="Email outline">
          <a:extLst>
            <a:ext uri="{FF2B5EF4-FFF2-40B4-BE49-F238E27FC236}">
              <a16:creationId xmlns:a16="http://schemas.microsoft.com/office/drawing/2014/main" id="{E101E957-5255-4EEA-89F3-E5878DE660BB}"/>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92319" y="1338418"/>
          <a:ext cx="206489" cy="170146"/>
        </a:xfrm>
        <a:prstGeom prst="rect">
          <a:avLst/>
        </a:prstGeom>
      </xdr:spPr>
    </xdr:pic>
    <xdr:clientData/>
  </xdr:twoCellAnchor>
  <xdr:twoCellAnchor>
    <xdr:from>
      <xdr:col>5</xdr:col>
      <xdr:colOff>282318</xdr:colOff>
      <xdr:row>31</xdr:row>
      <xdr:rowOff>15013</xdr:rowOff>
    </xdr:from>
    <xdr:to>
      <xdr:col>5</xdr:col>
      <xdr:colOff>482853</xdr:colOff>
      <xdr:row>32</xdr:row>
      <xdr:rowOff>33313</xdr:rowOff>
    </xdr:to>
    <xdr:pic>
      <xdr:nvPicPr>
        <xdr:cNvPr id="109" name="Ansprechperson_Telefon" descr="Telephone outline">
          <a:extLst>
            <a:ext uri="{FF2B5EF4-FFF2-40B4-BE49-F238E27FC236}">
              <a16:creationId xmlns:a16="http://schemas.microsoft.com/office/drawing/2014/main" id="{4EEEB84F-096E-4F8B-A8F9-11B851DE7FA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92318" y="1158013"/>
          <a:ext cx="200535" cy="208800"/>
        </a:xfrm>
        <a:prstGeom prst="rect">
          <a:avLst/>
        </a:prstGeom>
      </xdr:spPr>
    </xdr:pic>
    <xdr:clientData/>
  </xdr:twoCellAnchor>
  <xdr:twoCellAnchor>
    <xdr:from>
      <xdr:col>0</xdr:col>
      <xdr:colOff>422413</xdr:colOff>
      <xdr:row>32</xdr:row>
      <xdr:rowOff>23589</xdr:rowOff>
    </xdr:from>
    <xdr:to>
      <xdr:col>0</xdr:col>
      <xdr:colOff>623657</xdr:colOff>
      <xdr:row>33</xdr:row>
      <xdr:rowOff>19889</xdr:rowOff>
    </xdr:to>
    <xdr:pic>
      <xdr:nvPicPr>
        <xdr:cNvPr id="110" name="Ansprechperson_Position" descr="Briefcase outline">
          <a:extLst>
            <a:ext uri="{FF2B5EF4-FFF2-40B4-BE49-F238E27FC236}">
              <a16:creationId xmlns:a16="http://schemas.microsoft.com/office/drawing/2014/main" id="{C855D6CA-E228-4C6D-855C-B2FE4E1E35B6}"/>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413" y="1357089"/>
          <a:ext cx="201244" cy="186800"/>
        </a:xfrm>
        <a:prstGeom prst="rect">
          <a:avLst/>
        </a:prstGeom>
      </xdr:spPr>
    </xdr:pic>
    <xdr:clientData/>
  </xdr:twoCellAnchor>
  <xdr:twoCellAnchor>
    <xdr:from>
      <xdr:col>0</xdr:col>
      <xdr:colOff>428563</xdr:colOff>
      <xdr:row>71</xdr:row>
      <xdr:rowOff>1</xdr:rowOff>
    </xdr:from>
    <xdr:to>
      <xdr:col>0</xdr:col>
      <xdr:colOff>617702</xdr:colOff>
      <xdr:row>72</xdr:row>
      <xdr:rowOff>7993</xdr:rowOff>
    </xdr:to>
    <xdr:pic>
      <xdr:nvPicPr>
        <xdr:cNvPr id="111" name="Ansprechperson_Name" descr="Employee badge outline">
          <a:extLst>
            <a:ext uri="{FF2B5EF4-FFF2-40B4-BE49-F238E27FC236}">
              <a16:creationId xmlns:a16="http://schemas.microsoft.com/office/drawing/2014/main" id="{59905054-178D-4AB5-8DB8-178B10C306A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8563" y="10563226"/>
          <a:ext cx="189139" cy="198492"/>
        </a:xfrm>
        <a:prstGeom prst="rect">
          <a:avLst/>
        </a:prstGeom>
      </xdr:spPr>
    </xdr:pic>
    <xdr:clientData/>
  </xdr:twoCellAnchor>
  <xdr:twoCellAnchor>
    <xdr:from>
      <xdr:col>5</xdr:col>
      <xdr:colOff>282319</xdr:colOff>
      <xdr:row>72</xdr:row>
      <xdr:rowOff>4918</xdr:rowOff>
    </xdr:from>
    <xdr:to>
      <xdr:col>5</xdr:col>
      <xdr:colOff>488808</xdr:colOff>
      <xdr:row>72</xdr:row>
      <xdr:rowOff>175064</xdr:rowOff>
    </xdr:to>
    <xdr:pic>
      <xdr:nvPicPr>
        <xdr:cNvPr id="112" name="Ansprechperson_Mail" descr="Email outline">
          <a:extLst>
            <a:ext uri="{FF2B5EF4-FFF2-40B4-BE49-F238E27FC236}">
              <a16:creationId xmlns:a16="http://schemas.microsoft.com/office/drawing/2014/main" id="{532CEC10-7E65-482F-A07B-F0B97E849110}"/>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92319" y="10758643"/>
          <a:ext cx="206489" cy="170146"/>
        </a:xfrm>
        <a:prstGeom prst="rect">
          <a:avLst/>
        </a:prstGeom>
      </xdr:spPr>
    </xdr:pic>
    <xdr:clientData/>
  </xdr:twoCellAnchor>
  <xdr:twoCellAnchor>
    <xdr:from>
      <xdr:col>5</xdr:col>
      <xdr:colOff>282318</xdr:colOff>
      <xdr:row>71</xdr:row>
      <xdr:rowOff>15013</xdr:rowOff>
    </xdr:from>
    <xdr:to>
      <xdr:col>5</xdr:col>
      <xdr:colOff>482853</xdr:colOff>
      <xdr:row>72</xdr:row>
      <xdr:rowOff>33313</xdr:rowOff>
    </xdr:to>
    <xdr:pic>
      <xdr:nvPicPr>
        <xdr:cNvPr id="113" name="Ansprechperson_Telefon" descr="Telephone outline">
          <a:extLst>
            <a:ext uri="{FF2B5EF4-FFF2-40B4-BE49-F238E27FC236}">
              <a16:creationId xmlns:a16="http://schemas.microsoft.com/office/drawing/2014/main" id="{5D2A2669-CEF7-4205-AFE1-EE465EA32D9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92318" y="10578238"/>
          <a:ext cx="200535" cy="208800"/>
        </a:xfrm>
        <a:prstGeom prst="rect">
          <a:avLst/>
        </a:prstGeom>
      </xdr:spPr>
    </xdr:pic>
    <xdr:clientData/>
  </xdr:twoCellAnchor>
  <xdr:twoCellAnchor>
    <xdr:from>
      <xdr:col>0</xdr:col>
      <xdr:colOff>422413</xdr:colOff>
      <xdr:row>72</xdr:row>
      <xdr:rowOff>23589</xdr:rowOff>
    </xdr:from>
    <xdr:to>
      <xdr:col>0</xdr:col>
      <xdr:colOff>623657</xdr:colOff>
      <xdr:row>73</xdr:row>
      <xdr:rowOff>19889</xdr:rowOff>
    </xdr:to>
    <xdr:pic>
      <xdr:nvPicPr>
        <xdr:cNvPr id="114" name="Ansprechperson_Position" descr="Briefcase outline">
          <a:extLst>
            <a:ext uri="{FF2B5EF4-FFF2-40B4-BE49-F238E27FC236}">
              <a16:creationId xmlns:a16="http://schemas.microsoft.com/office/drawing/2014/main" id="{95903A99-EC08-4943-975D-1B22392C2869}"/>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413" y="10777314"/>
          <a:ext cx="201244" cy="186800"/>
        </a:xfrm>
        <a:prstGeom prst="rect">
          <a:avLst/>
        </a:prstGeom>
      </xdr:spPr>
    </xdr:pic>
    <xdr:clientData/>
  </xdr:twoCellAnchor>
  <xdr:twoCellAnchor>
    <xdr:from>
      <xdr:col>0</xdr:col>
      <xdr:colOff>428563</xdr:colOff>
      <xdr:row>100</xdr:row>
      <xdr:rowOff>1</xdr:rowOff>
    </xdr:from>
    <xdr:to>
      <xdr:col>0</xdr:col>
      <xdr:colOff>617702</xdr:colOff>
      <xdr:row>101</xdr:row>
      <xdr:rowOff>7993</xdr:rowOff>
    </xdr:to>
    <xdr:pic>
      <xdr:nvPicPr>
        <xdr:cNvPr id="115" name="Ansprechperson_Name" descr="Employee badge outline">
          <a:extLst>
            <a:ext uri="{FF2B5EF4-FFF2-40B4-BE49-F238E27FC236}">
              <a16:creationId xmlns:a16="http://schemas.microsoft.com/office/drawing/2014/main" id="{644CCAA4-2B01-431F-B7A7-881D24A752CF}"/>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8563" y="18373726"/>
          <a:ext cx="189139" cy="198492"/>
        </a:xfrm>
        <a:prstGeom prst="rect">
          <a:avLst/>
        </a:prstGeom>
      </xdr:spPr>
    </xdr:pic>
    <xdr:clientData/>
  </xdr:twoCellAnchor>
  <xdr:twoCellAnchor>
    <xdr:from>
      <xdr:col>5</xdr:col>
      <xdr:colOff>282319</xdr:colOff>
      <xdr:row>101</xdr:row>
      <xdr:rowOff>4918</xdr:rowOff>
    </xdr:from>
    <xdr:to>
      <xdr:col>5</xdr:col>
      <xdr:colOff>488808</xdr:colOff>
      <xdr:row>101</xdr:row>
      <xdr:rowOff>175064</xdr:rowOff>
    </xdr:to>
    <xdr:pic>
      <xdr:nvPicPr>
        <xdr:cNvPr id="116" name="Ansprechperson_Mail" descr="Email outline">
          <a:extLst>
            <a:ext uri="{FF2B5EF4-FFF2-40B4-BE49-F238E27FC236}">
              <a16:creationId xmlns:a16="http://schemas.microsoft.com/office/drawing/2014/main" id="{52E9EBA7-0CCA-454C-89D1-069FFDFCBB6E}"/>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92319" y="18569143"/>
          <a:ext cx="206489" cy="170146"/>
        </a:xfrm>
        <a:prstGeom prst="rect">
          <a:avLst/>
        </a:prstGeom>
      </xdr:spPr>
    </xdr:pic>
    <xdr:clientData/>
  </xdr:twoCellAnchor>
  <xdr:twoCellAnchor>
    <xdr:from>
      <xdr:col>5</xdr:col>
      <xdr:colOff>282318</xdr:colOff>
      <xdr:row>100</xdr:row>
      <xdr:rowOff>15013</xdr:rowOff>
    </xdr:from>
    <xdr:to>
      <xdr:col>5</xdr:col>
      <xdr:colOff>482853</xdr:colOff>
      <xdr:row>101</xdr:row>
      <xdr:rowOff>33313</xdr:rowOff>
    </xdr:to>
    <xdr:pic>
      <xdr:nvPicPr>
        <xdr:cNvPr id="117" name="Ansprechperson_Telefon" descr="Telephone outline">
          <a:extLst>
            <a:ext uri="{FF2B5EF4-FFF2-40B4-BE49-F238E27FC236}">
              <a16:creationId xmlns:a16="http://schemas.microsoft.com/office/drawing/2014/main" id="{0B820A4C-793D-492C-8DCB-E6F7AE5849E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92318" y="18388738"/>
          <a:ext cx="200535" cy="208800"/>
        </a:xfrm>
        <a:prstGeom prst="rect">
          <a:avLst/>
        </a:prstGeom>
      </xdr:spPr>
    </xdr:pic>
    <xdr:clientData/>
  </xdr:twoCellAnchor>
  <xdr:twoCellAnchor>
    <xdr:from>
      <xdr:col>0</xdr:col>
      <xdr:colOff>422413</xdr:colOff>
      <xdr:row>101</xdr:row>
      <xdr:rowOff>23589</xdr:rowOff>
    </xdr:from>
    <xdr:to>
      <xdr:col>0</xdr:col>
      <xdr:colOff>623657</xdr:colOff>
      <xdr:row>102</xdr:row>
      <xdr:rowOff>19889</xdr:rowOff>
    </xdr:to>
    <xdr:pic>
      <xdr:nvPicPr>
        <xdr:cNvPr id="118" name="Ansprechperson_Position" descr="Briefcase outline">
          <a:extLst>
            <a:ext uri="{FF2B5EF4-FFF2-40B4-BE49-F238E27FC236}">
              <a16:creationId xmlns:a16="http://schemas.microsoft.com/office/drawing/2014/main" id="{86BCF34D-E1E1-4C0E-BA2F-6E66E23F3B21}"/>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413" y="23350314"/>
          <a:ext cx="201244" cy="186800"/>
        </a:xfrm>
        <a:prstGeom prst="rect">
          <a:avLst/>
        </a:prstGeom>
      </xdr:spPr>
    </xdr:pic>
    <xdr:clientData/>
  </xdr:twoCellAnchor>
  <xdr:twoCellAnchor>
    <xdr:from>
      <xdr:col>0</xdr:col>
      <xdr:colOff>428563</xdr:colOff>
      <xdr:row>122</xdr:row>
      <xdr:rowOff>1</xdr:rowOff>
    </xdr:from>
    <xdr:to>
      <xdr:col>0</xdr:col>
      <xdr:colOff>617702</xdr:colOff>
      <xdr:row>123</xdr:row>
      <xdr:rowOff>7993</xdr:rowOff>
    </xdr:to>
    <xdr:pic>
      <xdr:nvPicPr>
        <xdr:cNvPr id="119" name="Ansprechperson_Name" descr="Employee badge outline">
          <a:extLst>
            <a:ext uri="{FF2B5EF4-FFF2-40B4-BE49-F238E27FC236}">
              <a16:creationId xmlns:a16="http://schemas.microsoft.com/office/drawing/2014/main" id="{8E7ECC29-D0FF-4F44-9D3D-62FCDCC143DD}"/>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28563" y="23136226"/>
          <a:ext cx="189139" cy="198492"/>
        </a:xfrm>
        <a:prstGeom prst="rect">
          <a:avLst/>
        </a:prstGeom>
      </xdr:spPr>
    </xdr:pic>
    <xdr:clientData/>
  </xdr:twoCellAnchor>
  <xdr:twoCellAnchor>
    <xdr:from>
      <xdr:col>5</xdr:col>
      <xdr:colOff>282319</xdr:colOff>
      <xdr:row>123</xdr:row>
      <xdr:rowOff>4918</xdr:rowOff>
    </xdr:from>
    <xdr:to>
      <xdr:col>5</xdr:col>
      <xdr:colOff>488808</xdr:colOff>
      <xdr:row>123</xdr:row>
      <xdr:rowOff>175064</xdr:rowOff>
    </xdr:to>
    <xdr:pic>
      <xdr:nvPicPr>
        <xdr:cNvPr id="120" name="Ansprechperson_Mail" descr="Email outline">
          <a:extLst>
            <a:ext uri="{FF2B5EF4-FFF2-40B4-BE49-F238E27FC236}">
              <a16:creationId xmlns:a16="http://schemas.microsoft.com/office/drawing/2014/main" id="{0747CDA6-038D-4FF1-B998-79B1A63F5332}"/>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4092319" y="23331643"/>
          <a:ext cx="206489" cy="170146"/>
        </a:xfrm>
        <a:prstGeom prst="rect">
          <a:avLst/>
        </a:prstGeom>
      </xdr:spPr>
    </xdr:pic>
    <xdr:clientData/>
  </xdr:twoCellAnchor>
  <xdr:twoCellAnchor>
    <xdr:from>
      <xdr:col>5</xdr:col>
      <xdr:colOff>282318</xdr:colOff>
      <xdr:row>122</xdr:row>
      <xdr:rowOff>15013</xdr:rowOff>
    </xdr:from>
    <xdr:to>
      <xdr:col>5</xdr:col>
      <xdr:colOff>482853</xdr:colOff>
      <xdr:row>123</xdr:row>
      <xdr:rowOff>33313</xdr:rowOff>
    </xdr:to>
    <xdr:pic>
      <xdr:nvPicPr>
        <xdr:cNvPr id="121" name="Ansprechperson_Telefon" descr="Telephone outline">
          <a:extLst>
            <a:ext uri="{FF2B5EF4-FFF2-40B4-BE49-F238E27FC236}">
              <a16:creationId xmlns:a16="http://schemas.microsoft.com/office/drawing/2014/main" id="{40EC584C-A48E-4C6D-9C63-6F3DDD62C7A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092318" y="23151238"/>
          <a:ext cx="200535" cy="208800"/>
        </a:xfrm>
        <a:prstGeom prst="rect">
          <a:avLst/>
        </a:prstGeom>
      </xdr:spPr>
    </xdr:pic>
    <xdr:clientData/>
  </xdr:twoCellAnchor>
  <xdr:twoCellAnchor>
    <xdr:from>
      <xdr:col>0</xdr:col>
      <xdr:colOff>422413</xdr:colOff>
      <xdr:row>123</xdr:row>
      <xdr:rowOff>23589</xdr:rowOff>
    </xdr:from>
    <xdr:to>
      <xdr:col>0</xdr:col>
      <xdr:colOff>623657</xdr:colOff>
      <xdr:row>124</xdr:row>
      <xdr:rowOff>19889</xdr:rowOff>
    </xdr:to>
    <xdr:pic>
      <xdr:nvPicPr>
        <xdr:cNvPr id="122" name="Ansprechperson_Position" descr="Briefcase outline">
          <a:extLst>
            <a:ext uri="{FF2B5EF4-FFF2-40B4-BE49-F238E27FC236}">
              <a16:creationId xmlns:a16="http://schemas.microsoft.com/office/drawing/2014/main" id="{C16D60F9-5351-4B85-A939-9DED2C46B4A0}"/>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422413" y="23350314"/>
          <a:ext cx="201244" cy="18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238125</xdr:colOff>
      <xdr:row>5</xdr:row>
      <xdr:rowOff>190499</xdr:rowOff>
    </xdr:from>
    <xdr:to>
      <xdr:col>4</xdr:col>
      <xdr:colOff>965250</xdr:colOff>
      <xdr:row>22</xdr:row>
      <xdr:rowOff>1199</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238125</xdr:colOff>
      <xdr:row>5</xdr:row>
      <xdr:rowOff>190499</xdr:rowOff>
    </xdr:from>
    <xdr:to>
      <xdr:col>10</xdr:col>
      <xdr:colOff>965250</xdr:colOff>
      <xdr:row>22</xdr:row>
      <xdr:rowOff>1199</xdr:rowOff>
    </xdr:to>
    <xdr:graphicFrame macro="">
      <xdr:nvGraphicFramePr>
        <xdr:cNvPr id="9" name="Diagramm 2">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238125</xdr:colOff>
      <xdr:row>5</xdr:row>
      <xdr:rowOff>190499</xdr:rowOff>
    </xdr:from>
    <xdr:to>
      <xdr:col>16</xdr:col>
      <xdr:colOff>965250</xdr:colOff>
      <xdr:row>22</xdr:row>
      <xdr:rowOff>1199</xdr:rowOff>
    </xdr:to>
    <xdr:graphicFrame macro="">
      <xdr:nvGraphicFramePr>
        <xdr:cNvPr id="10" name="Diagramm 2">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238125</xdr:colOff>
      <xdr:row>5</xdr:row>
      <xdr:rowOff>190499</xdr:rowOff>
    </xdr:from>
    <xdr:to>
      <xdr:col>22</xdr:col>
      <xdr:colOff>965250</xdr:colOff>
      <xdr:row>22</xdr:row>
      <xdr:rowOff>1199</xdr:rowOff>
    </xdr:to>
    <xdr:graphicFrame macro="">
      <xdr:nvGraphicFramePr>
        <xdr:cNvPr id="11" name="Diagramm 2">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238125</xdr:colOff>
      <xdr:row>5</xdr:row>
      <xdr:rowOff>190499</xdr:rowOff>
    </xdr:from>
    <xdr:to>
      <xdr:col>28</xdr:col>
      <xdr:colOff>965250</xdr:colOff>
      <xdr:row>22</xdr:row>
      <xdr:rowOff>1199</xdr:rowOff>
    </xdr:to>
    <xdr:graphicFrame macro="">
      <xdr:nvGraphicFramePr>
        <xdr:cNvPr id="12" name="Diagramm 2">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238125</xdr:colOff>
      <xdr:row>5</xdr:row>
      <xdr:rowOff>190499</xdr:rowOff>
    </xdr:from>
    <xdr:to>
      <xdr:col>34</xdr:col>
      <xdr:colOff>965250</xdr:colOff>
      <xdr:row>22</xdr:row>
      <xdr:rowOff>1199</xdr:rowOff>
    </xdr:to>
    <xdr:graphicFrame macro="">
      <xdr:nvGraphicFramePr>
        <xdr:cNvPr id="13" name="Diagramm 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238125</xdr:colOff>
      <xdr:row>5</xdr:row>
      <xdr:rowOff>190499</xdr:rowOff>
    </xdr:from>
    <xdr:to>
      <xdr:col>40</xdr:col>
      <xdr:colOff>965250</xdr:colOff>
      <xdr:row>22</xdr:row>
      <xdr:rowOff>1199</xdr:rowOff>
    </xdr:to>
    <xdr:graphicFrame macro="">
      <xdr:nvGraphicFramePr>
        <xdr:cNvPr id="14" name="Diagramm 2">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678FE8-6DED-4F9E-BC89-D981B94E5477}" name="ProzessA" displayName="ProzessA" ref="A25:E224" totalsRowShown="0" headerRowDxfId="110" dataDxfId="108" headerRowBorderDxfId="109">
  <autoFilter ref="A25:E224" xr:uid="{A2678FE8-6DED-4F9E-BC89-D981B94E5477}">
    <filterColumn colId="0" hiddenButton="1"/>
    <filterColumn colId="1" hiddenButton="1"/>
    <filterColumn colId="2" hiddenButton="1"/>
    <filterColumn colId="3" hiddenButton="1"/>
    <filterColumn colId="4" hiddenButton="1"/>
  </autoFilter>
  <tableColumns count="5">
    <tableColumn id="1" xr3:uid="{5A7A61B0-8350-4BA2-97FA-CF07D919F6B6}" name="Minuten" dataDxfId="107"/>
    <tableColumn id="2" xr3:uid="{8CE078B3-07D1-4371-88F3-5A593D88896A}" name="Name [Einheit]" dataDxfId="106"/>
    <tableColumn id="3" xr3:uid="{6C092F71-C378-4873-9227-684E68E3D937}" name="Batchsize [Stk.]" dataDxfId="105"/>
    <tableColumn id="6" xr3:uid="{48002A61-5EF6-4C74-9599-7901C599DC31}" name="Name1 [Einheit]" dataDxfId="104"/>
    <tableColumn id="7" xr3:uid="{8E4B060E-7084-46BA-AEEC-F8605C2E27FE}" name="Name2 [Einheit]" dataDxfId="10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753D1A6-8A2D-49E2-BFFD-DE264D536684}" name="ProzessB" displayName="ProzessB" ref="G25:K224" totalsRowShown="0" dataDxfId="101" headerRowBorderDxfId="102" tableBorderDxfId="100">
  <autoFilter ref="G25:K224" xr:uid="{2753D1A6-8A2D-49E2-BFFD-DE264D536684}">
    <filterColumn colId="0" hiddenButton="1"/>
    <filterColumn colId="1" hiddenButton="1"/>
    <filterColumn colId="2" hiddenButton="1"/>
    <filterColumn colId="3" hiddenButton="1"/>
    <filterColumn colId="4" hiddenButton="1"/>
  </autoFilter>
  <tableColumns count="5">
    <tableColumn id="1" xr3:uid="{B1BD59D7-30C9-476C-BA5F-5E46E1E971F0}" name="Minuten" dataDxfId="99"/>
    <tableColumn id="2" xr3:uid="{745CE7E6-A87A-4E24-81A2-B6226B85C67B}" name="Name [Einheit]" dataDxfId="98"/>
    <tableColumn id="3" xr3:uid="{94BAC85A-D0BD-4FAD-B190-BC1B8DFAEBE7}" name="Batchsize [Stk.]" dataDxfId="97"/>
    <tableColumn id="6" xr3:uid="{2DEB4082-76A6-402F-920B-6CB265F9B03E}" name="Name1 [Einheit]" dataDxfId="96"/>
    <tableColumn id="7" xr3:uid="{42AA7D63-5636-4459-A919-F2F6381056DF}" name="Name2 [Einheit]" dataDxfId="95"/>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64137F3-355C-48AE-B96F-9C1B4F25AD31}" name="ProzessC" displayName="ProzessC" ref="M25:Q224" totalsRowShown="0" dataDxfId="93" headerRowBorderDxfId="94" tableBorderDxfId="92">
  <autoFilter ref="M25:Q224" xr:uid="{F64137F3-355C-48AE-B96F-9C1B4F25AD31}">
    <filterColumn colId="0" hiddenButton="1"/>
    <filterColumn colId="1" hiddenButton="1"/>
    <filterColumn colId="2" hiddenButton="1"/>
    <filterColumn colId="3" hiddenButton="1"/>
    <filterColumn colId="4" hiddenButton="1"/>
  </autoFilter>
  <tableColumns count="5">
    <tableColumn id="1" xr3:uid="{137DB6D2-38EA-4810-9485-BFD0E0BB179D}" name="Minuten" dataDxfId="91"/>
    <tableColumn id="2" xr3:uid="{73980F02-971F-4A01-8887-6FFD7C446D5F}" name="Name [Einheit]" dataDxfId="90"/>
    <tableColumn id="3" xr3:uid="{362AC8BF-063A-4500-91D1-EF58D5EBAA24}" name="Batchsize [Stk.]" dataDxfId="89"/>
    <tableColumn id="6" xr3:uid="{1B04830A-7E04-40B2-97C1-0788585AC627}" name="Name1 [Einheit]" dataDxfId="88"/>
    <tableColumn id="7" xr3:uid="{3E0DD085-1B96-472A-B2BA-476143216A83}" name="Name2 [Einheit]" dataDxfId="8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41358B6-4E94-4FBB-897C-31479DCDF0E0}" name="ProzessD" displayName="ProzessD" ref="S25:W224" totalsRowShown="0" dataDxfId="85" headerRowBorderDxfId="86" tableBorderDxfId="84">
  <autoFilter ref="S25:W224" xr:uid="{B41358B6-4E94-4FBB-897C-31479DCDF0E0}">
    <filterColumn colId="0" hiddenButton="1"/>
    <filterColumn colId="1" hiddenButton="1"/>
    <filterColumn colId="2" hiddenButton="1"/>
    <filterColumn colId="3" hiddenButton="1"/>
    <filterColumn colId="4" hiddenButton="1"/>
  </autoFilter>
  <tableColumns count="5">
    <tableColumn id="1" xr3:uid="{19CBFA1D-7DF2-408F-AE80-632CC51612C2}" name="Minuten" dataDxfId="83"/>
    <tableColumn id="2" xr3:uid="{11E95FC6-5EE3-4174-87AC-0F36DBB84DF6}" name="Name [Einheit]" dataDxfId="82"/>
    <tableColumn id="3" xr3:uid="{5C8B4F32-1EB2-4D82-AF3A-28F14104CC3E}" name="Batchsize [Stk.]" dataDxfId="81"/>
    <tableColumn id="6" xr3:uid="{9E8DA75B-E82B-4026-BFF0-71E15DBBE16D}" name="Name1 [Einheit]" dataDxfId="80"/>
    <tableColumn id="7" xr3:uid="{C56B0EAE-0EA0-4521-ACB0-00BC55AE3530}" name="Name2 [Einheit]" dataDxfId="7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C7A68D7-383D-4B19-B507-41DD4208B577}" name="ProzessE" displayName="ProzessE" ref="Y25:AC224" totalsRowShown="0" dataDxfId="77" headerRowBorderDxfId="78" tableBorderDxfId="76">
  <autoFilter ref="Y25:AC224" xr:uid="{DC7A68D7-383D-4B19-B507-41DD4208B577}">
    <filterColumn colId="0" hiddenButton="1"/>
    <filterColumn colId="1" hiddenButton="1"/>
    <filterColumn colId="2" hiddenButton="1"/>
    <filterColumn colId="3" hiddenButton="1"/>
    <filterColumn colId="4" hiddenButton="1"/>
  </autoFilter>
  <tableColumns count="5">
    <tableColumn id="1" xr3:uid="{3490EDD3-EE90-482F-A950-5A9F6EBAE962}" name="Minuten" dataDxfId="75"/>
    <tableColumn id="2" xr3:uid="{4DEE93AD-7642-4F2C-A7C2-0A6550D518FF}" name="Name [Einheit]" dataDxfId="74"/>
    <tableColumn id="3" xr3:uid="{63C671EE-6AAA-4670-A47E-F20A4622892E}" name="Batchsize [Stk.]" dataDxfId="73"/>
    <tableColumn id="6" xr3:uid="{3BD92B14-4BB4-41DB-91CB-BD221874E66C}" name="Name1 [Einheit]" dataDxfId="72"/>
    <tableColumn id="7" xr3:uid="{4DFFC6AD-33FE-489D-8B88-4374AC11529A}" name="Name2 [Einheit]" dataDxfId="7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3F0699-F70A-44E7-9F6B-D73C73C1AE19}" name="ProzessF" displayName="ProzessF" ref="AE25:AI224" totalsRowShown="0" dataDxfId="69" headerRowBorderDxfId="70" tableBorderDxfId="68">
  <autoFilter ref="AE25:AI224" xr:uid="{8C3F0699-F70A-44E7-9F6B-D73C73C1AE19}">
    <filterColumn colId="0" hiddenButton="1"/>
    <filterColumn colId="1" hiddenButton="1"/>
    <filterColumn colId="2" hiddenButton="1"/>
    <filterColumn colId="3" hiddenButton="1"/>
    <filterColumn colId="4" hiddenButton="1"/>
  </autoFilter>
  <tableColumns count="5">
    <tableColumn id="1" xr3:uid="{365913EC-0FED-4525-B216-1300FE9D6668}" name="Minuten" dataDxfId="67"/>
    <tableColumn id="2" xr3:uid="{FB8396BF-43C8-4087-9194-B6A73807CE71}" name="Name [Einheit]" dataDxfId="66"/>
    <tableColumn id="3" xr3:uid="{45FEFB27-0CCF-4198-BE13-E36E70941525}" name="Batchsize [Stk.]" dataDxfId="65"/>
    <tableColumn id="6" xr3:uid="{BE71EFB8-60AB-4009-826A-C776E4089F0F}" name="Name1 [Einheit]" dataDxfId="64"/>
    <tableColumn id="7" xr3:uid="{5A8560E0-E308-4A66-8DBA-985CD7E2D00A}" name="Name2 [Einheit]" dataDxfId="63"/>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957CE86-AEE8-4654-ACDC-A337E4E218C1}" name="ProzessG" displayName="ProzessG" ref="AK25:AO224" totalsRowShown="0" dataDxfId="61" headerRowBorderDxfId="62" tableBorderDxfId="60">
  <autoFilter ref="AK25:AO224" xr:uid="{2957CE86-AEE8-4654-ACDC-A337E4E218C1}">
    <filterColumn colId="0" hiddenButton="1"/>
    <filterColumn colId="1" hiddenButton="1"/>
    <filterColumn colId="2" hiddenButton="1"/>
    <filterColumn colId="3" hiddenButton="1"/>
    <filterColumn colId="4" hiddenButton="1"/>
  </autoFilter>
  <tableColumns count="5">
    <tableColumn id="1" xr3:uid="{D962D1DD-66F4-463E-8DE4-7179AF8615C8}" name="Minuten" dataDxfId="59"/>
    <tableColumn id="2" xr3:uid="{84BD2D74-0BEF-4E65-B3F7-6EFA16161B13}" name="Name [Einheit]" dataDxfId="58"/>
    <tableColumn id="3" xr3:uid="{EC2EC38F-423A-47AC-A21B-8530BD241221}" name="Batchsize [Stk.]" dataDxfId="57"/>
    <tableColumn id="6" xr3:uid="{E6807B80-1560-4DB1-9959-DF6B09CE5EED}" name="Name1 [Einheit]" dataDxfId="56"/>
    <tableColumn id="7" xr3:uid="{DB98B012-702A-4C1B-9A5E-9C574F67B6EF}" name="Name2 [Einheit]" dataDxfId="55"/>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erstin.pfleger-schopf@unileoben.ac.at?subject=[FLEXcel]%20Anfrage%20zum%20Tool" TargetMode="External"/><Relationship Id="rId1" Type="http://schemas.openxmlformats.org/officeDocument/2006/relationships/hyperlink" Target="mailto:bernd.riederer@best-research.eu?subject=[FLEXcel]%20Anfrage%20zum%20Tool"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3" Type="http://schemas.openxmlformats.org/officeDocument/2006/relationships/vmlDrawing" Target="../drawings/vmlDrawing5.vml"/><Relationship Id="rId7" Type="http://schemas.openxmlformats.org/officeDocument/2006/relationships/ctrlProp" Target="../ctrlProps/ctrlProp124.xml"/><Relationship Id="rId12" Type="http://schemas.openxmlformats.org/officeDocument/2006/relationships/ctrlProp" Target="../ctrlProps/ctrlProp129.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10" Type="http://schemas.openxmlformats.org/officeDocument/2006/relationships/ctrlProp" Target="../ctrlProps/ctrlProp127.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18" Type="http://schemas.openxmlformats.org/officeDocument/2006/relationships/ctrlProp" Target="../ctrlProps/ctrlProp12.xml"/><Relationship Id="rId3" Type="http://schemas.openxmlformats.org/officeDocument/2006/relationships/hyperlink" Target="https://eur-lex.europa.eu/legal-content/EN/TXT/?uri=CELEX:32006R1893"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s://de.wikipedia.org/wiki/Statistische_Systematik_der_Wirtschaftszweige_in_der_Europ%C3%A4ischen_Gemeinschaft" TargetMode="External"/><Relationship Id="rId16" Type="http://schemas.openxmlformats.org/officeDocument/2006/relationships/ctrlProp" Target="../ctrlProps/ctrlProp10.xml"/><Relationship Id="rId1" Type="http://schemas.openxmlformats.org/officeDocument/2006/relationships/hyperlink" Target="https://eur-lex.europa.eu/legal-content/EN/TXT/HTML/?uri=CELEX:32006R1893%20(Annex%201)"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2.xml"/><Relationship Id="rId15" Type="http://schemas.openxmlformats.org/officeDocument/2006/relationships/ctrlProp" Target="../ctrlProps/ctrlProp9.xml"/><Relationship Id="rId10" Type="http://schemas.openxmlformats.org/officeDocument/2006/relationships/ctrlProp" Target="../ctrlProps/ctrlProp4.xml"/><Relationship Id="rId19" Type="http://schemas.openxmlformats.org/officeDocument/2006/relationships/ctrlProp" Target="../ctrlProps/ctrlProp13.xml"/><Relationship Id="rId4" Type="http://schemas.openxmlformats.org/officeDocument/2006/relationships/printerSettings" Target="../printerSettings/printerSettings2.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23.xml"/><Relationship Id="rId18" Type="http://schemas.openxmlformats.org/officeDocument/2006/relationships/ctrlProp" Target="../ctrlProps/ctrlProp28.xml"/><Relationship Id="rId26" Type="http://schemas.openxmlformats.org/officeDocument/2006/relationships/ctrlProp" Target="../ctrlProps/ctrlProp36.xml"/><Relationship Id="rId39" Type="http://schemas.openxmlformats.org/officeDocument/2006/relationships/ctrlProp" Target="../ctrlProps/ctrlProp49.xml"/><Relationship Id="rId21" Type="http://schemas.openxmlformats.org/officeDocument/2006/relationships/ctrlProp" Target="../ctrlProps/ctrlProp31.xml"/><Relationship Id="rId34" Type="http://schemas.openxmlformats.org/officeDocument/2006/relationships/ctrlProp" Target="../ctrlProps/ctrlProp44.xml"/><Relationship Id="rId42" Type="http://schemas.openxmlformats.org/officeDocument/2006/relationships/ctrlProp" Target="../ctrlProps/ctrlProp52.xml"/><Relationship Id="rId47" Type="http://schemas.openxmlformats.org/officeDocument/2006/relationships/ctrlProp" Target="../ctrlProps/ctrlProp57.xml"/><Relationship Id="rId7" Type="http://schemas.openxmlformats.org/officeDocument/2006/relationships/ctrlProp" Target="../ctrlProps/ctrlProp17.xml"/><Relationship Id="rId2" Type="http://schemas.openxmlformats.org/officeDocument/2006/relationships/drawing" Target="../drawings/drawing4.xml"/><Relationship Id="rId16" Type="http://schemas.openxmlformats.org/officeDocument/2006/relationships/ctrlProp" Target="../ctrlProps/ctrlProp26.xml"/><Relationship Id="rId29" Type="http://schemas.openxmlformats.org/officeDocument/2006/relationships/ctrlProp" Target="../ctrlProps/ctrlProp39.xml"/><Relationship Id="rId1" Type="http://schemas.openxmlformats.org/officeDocument/2006/relationships/printerSettings" Target="../printerSettings/printerSettings5.bin"/><Relationship Id="rId6" Type="http://schemas.openxmlformats.org/officeDocument/2006/relationships/ctrlProp" Target="../ctrlProps/ctrlProp16.xml"/><Relationship Id="rId11" Type="http://schemas.openxmlformats.org/officeDocument/2006/relationships/ctrlProp" Target="../ctrlProps/ctrlProp21.xml"/><Relationship Id="rId24" Type="http://schemas.openxmlformats.org/officeDocument/2006/relationships/ctrlProp" Target="../ctrlProps/ctrlProp34.xml"/><Relationship Id="rId32" Type="http://schemas.openxmlformats.org/officeDocument/2006/relationships/ctrlProp" Target="../ctrlProps/ctrlProp42.xml"/><Relationship Id="rId37" Type="http://schemas.openxmlformats.org/officeDocument/2006/relationships/ctrlProp" Target="../ctrlProps/ctrlProp47.xml"/><Relationship Id="rId40" Type="http://schemas.openxmlformats.org/officeDocument/2006/relationships/ctrlProp" Target="../ctrlProps/ctrlProp50.xml"/><Relationship Id="rId45" Type="http://schemas.openxmlformats.org/officeDocument/2006/relationships/ctrlProp" Target="../ctrlProps/ctrlProp55.xml"/><Relationship Id="rId5" Type="http://schemas.openxmlformats.org/officeDocument/2006/relationships/ctrlProp" Target="../ctrlProps/ctrlProp15.xml"/><Relationship Id="rId15" Type="http://schemas.openxmlformats.org/officeDocument/2006/relationships/ctrlProp" Target="../ctrlProps/ctrlProp25.xml"/><Relationship Id="rId23" Type="http://schemas.openxmlformats.org/officeDocument/2006/relationships/ctrlProp" Target="../ctrlProps/ctrlProp33.xml"/><Relationship Id="rId28" Type="http://schemas.openxmlformats.org/officeDocument/2006/relationships/ctrlProp" Target="../ctrlProps/ctrlProp38.xml"/><Relationship Id="rId36" Type="http://schemas.openxmlformats.org/officeDocument/2006/relationships/ctrlProp" Target="../ctrlProps/ctrlProp46.xml"/><Relationship Id="rId10" Type="http://schemas.openxmlformats.org/officeDocument/2006/relationships/ctrlProp" Target="../ctrlProps/ctrlProp20.xml"/><Relationship Id="rId19" Type="http://schemas.openxmlformats.org/officeDocument/2006/relationships/ctrlProp" Target="../ctrlProps/ctrlProp29.xml"/><Relationship Id="rId31" Type="http://schemas.openxmlformats.org/officeDocument/2006/relationships/ctrlProp" Target="../ctrlProps/ctrlProp41.xml"/><Relationship Id="rId44" Type="http://schemas.openxmlformats.org/officeDocument/2006/relationships/ctrlProp" Target="../ctrlProps/ctrlProp54.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 Id="rId22" Type="http://schemas.openxmlformats.org/officeDocument/2006/relationships/ctrlProp" Target="../ctrlProps/ctrlProp32.xml"/><Relationship Id="rId27" Type="http://schemas.openxmlformats.org/officeDocument/2006/relationships/ctrlProp" Target="../ctrlProps/ctrlProp37.xml"/><Relationship Id="rId30" Type="http://schemas.openxmlformats.org/officeDocument/2006/relationships/ctrlProp" Target="../ctrlProps/ctrlProp40.xml"/><Relationship Id="rId35" Type="http://schemas.openxmlformats.org/officeDocument/2006/relationships/ctrlProp" Target="../ctrlProps/ctrlProp45.xml"/><Relationship Id="rId43" Type="http://schemas.openxmlformats.org/officeDocument/2006/relationships/ctrlProp" Target="../ctrlProps/ctrlProp53.xml"/><Relationship Id="rId48" Type="http://schemas.openxmlformats.org/officeDocument/2006/relationships/ctrlProp" Target="../ctrlProps/ctrlProp58.xml"/><Relationship Id="rId8" Type="http://schemas.openxmlformats.org/officeDocument/2006/relationships/ctrlProp" Target="../ctrlProps/ctrlProp18.xml"/><Relationship Id="rId3" Type="http://schemas.openxmlformats.org/officeDocument/2006/relationships/vmlDrawing" Target="../drawings/vmlDrawing2.vml"/><Relationship Id="rId12" Type="http://schemas.openxmlformats.org/officeDocument/2006/relationships/ctrlProp" Target="../ctrlProps/ctrlProp22.xml"/><Relationship Id="rId17" Type="http://schemas.openxmlformats.org/officeDocument/2006/relationships/ctrlProp" Target="../ctrlProps/ctrlProp27.xml"/><Relationship Id="rId25" Type="http://schemas.openxmlformats.org/officeDocument/2006/relationships/ctrlProp" Target="../ctrlProps/ctrlProp35.xml"/><Relationship Id="rId33" Type="http://schemas.openxmlformats.org/officeDocument/2006/relationships/ctrlProp" Target="../ctrlProps/ctrlProp43.xml"/><Relationship Id="rId38" Type="http://schemas.openxmlformats.org/officeDocument/2006/relationships/ctrlProp" Target="../ctrlProps/ctrlProp48.xml"/><Relationship Id="rId46" Type="http://schemas.openxmlformats.org/officeDocument/2006/relationships/ctrlProp" Target="../ctrlProps/ctrlProp56.xml"/><Relationship Id="rId20" Type="http://schemas.openxmlformats.org/officeDocument/2006/relationships/ctrlProp" Target="../ctrlProps/ctrlProp30.xml"/><Relationship Id="rId41" Type="http://schemas.openxmlformats.org/officeDocument/2006/relationships/ctrlProp" Target="../ctrlProps/ctrlProp51.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3.xml"/><Relationship Id="rId13" Type="http://schemas.openxmlformats.org/officeDocument/2006/relationships/ctrlProp" Target="../ctrlProps/ctrlProp68.xml"/><Relationship Id="rId3" Type="http://schemas.openxmlformats.org/officeDocument/2006/relationships/vmlDrawing" Target="../drawings/vmlDrawing3.vml"/><Relationship Id="rId7" Type="http://schemas.openxmlformats.org/officeDocument/2006/relationships/ctrlProp" Target="../ctrlProps/ctrlProp62.xml"/><Relationship Id="rId12" Type="http://schemas.openxmlformats.org/officeDocument/2006/relationships/ctrlProp" Target="../ctrlProps/ctrlProp67.xml"/><Relationship Id="rId2" Type="http://schemas.openxmlformats.org/officeDocument/2006/relationships/drawing" Target="../drawings/drawing5.xml"/><Relationship Id="rId16" Type="http://schemas.openxmlformats.org/officeDocument/2006/relationships/ctrlProp" Target="../ctrlProps/ctrlProp71.xml"/><Relationship Id="rId1" Type="http://schemas.openxmlformats.org/officeDocument/2006/relationships/printerSettings" Target="../printerSettings/printerSettings6.bin"/><Relationship Id="rId6" Type="http://schemas.openxmlformats.org/officeDocument/2006/relationships/ctrlProp" Target="../ctrlProps/ctrlProp61.xml"/><Relationship Id="rId11" Type="http://schemas.openxmlformats.org/officeDocument/2006/relationships/ctrlProp" Target="../ctrlProps/ctrlProp66.xml"/><Relationship Id="rId5" Type="http://schemas.openxmlformats.org/officeDocument/2006/relationships/ctrlProp" Target="../ctrlProps/ctrlProp60.xml"/><Relationship Id="rId15" Type="http://schemas.openxmlformats.org/officeDocument/2006/relationships/ctrlProp" Target="../ctrlProps/ctrlProp70.xml"/><Relationship Id="rId10" Type="http://schemas.openxmlformats.org/officeDocument/2006/relationships/ctrlProp" Target="../ctrlProps/ctrlProp65.xml"/><Relationship Id="rId4" Type="http://schemas.openxmlformats.org/officeDocument/2006/relationships/ctrlProp" Target="../ctrlProps/ctrlProp59.xml"/><Relationship Id="rId9" Type="http://schemas.openxmlformats.org/officeDocument/2006/relationships/ctrlProp" Target="../ctrlProps/ctrlProp64.xml"/><Relationship Id="rId14" Type="http://schemas.openxmlformats.org/officeDocument/2006/relationships/ctrlProp" Target="../ctrlProps/ctrlProp69.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81.xml"/><Relationship Id="rId18" Type="http://schemas.openxmlformats.org/officeDocument/2006/relationships/ctrlProp" Target="../ctrlProps/ctrlProp86.xml"/><Relationship Id="rId26" Type="http://schemas.openxmlformats.org/officeDocument/2006/relationships/ctrlProp" Target="../ctrlProps/ctrlProp94.xml"/><Relationship Id="rId39" Type="http://schemas.openxmlformats.org/officeDocument/2006/relationships/ctrlProp" Target="../ctrlProps/ctrlProp107.xml"/><Relationship Id="rId21" Type="http://schemas.openxmlformats.org/officeDocument/2006/relationships/ctrlProp" Target="../ctrlProps/ctrlProp89.xml"/><Relationship Id="rId34" Type="http://schemas.openxmlformats.org/officeDocument/2006/relationships/ctrlProp" Target="../ctrlProps/ctrlProp102.xml"/><Relationship Id="rId42" Type="http://schemas.openxmlformats.org/officeDocument/2006/relationships/ctrlProp" Target="../ctrlProps/ctrlProp110.xml"/><Relationship Id="rId47" Type="http://schemas.openxmlformats.org/officeDocument/2006/relationships/ctrlProp" Target="../ctrlProps/ctrlProp115.xml"/><Relationship Id="rId50" Type="http://schemas.openxmlformats.org/officeDocument/2006/relationships/ctrlProp" Target="../ctrlProps/ctrlProp118.xml"/><Relationship Id="rId7" Type="http://schemas.openxmlformats.org/officeDocument/2006/relationships/ctrlProp" Target="../ctrlProps/ctrlProp75.xml"/><Relationship Id="rId2" Type="http://schemas.openxmlformats.org/officeDocument/2006/relationships/drawing" Target="../drawings/drawing6.xml"/><Relationship Id="rId16" Type="http://schemas.openxmlformats.org/officeDocument/2006/relationships/ctrlProp" Target="../ctrlProps/ctrlProp84.xml"/><Relationship Id="rId29" Type="http://schemas.openxmlformats.org/officeDocument/2006/relationships/ctrlProp" Target="../ctrlProps/ctrlProp97.xml"/><Relationship Id="rId11" Type="http://schemas.openxmlformats.org/officeDocument/2006/relationships/ctrlProp" Target="../ctrlProps/ctrlProp79.xml"/><Relationship Id="rId24" Type="http://schemas.openxmlformats.org/officeDocument/2006/relationships/ctrlProp" Target="../ctrlProps/ctrlProp92.xml"/><Relationship Id="rId32" Type="http://schemas.openxmlformats.org/officeDocument/2006/relationships/ctrlProp" Target="../ctrlProps/ctrlProp100.xml"/><Relationship Id="rId37" Type="http://schemas.openxmlformats.org/officeDocument/2006/relationships/ctrlProp" Target="../ctrlProps/ctrlProp105.xml"/><Relationship Id="rId40" Type="http://schemas.openxmlformats.org/officeDocument/2006/relationships/ctrlProp" Target="../ctrlProps/ctrlProp108.xml"/><Relationship Id="rId45" Type="http://schemas.openxmlformats.org/officeDocument/2006/relationships/ctrlProp" Target="../ctrlProps/ctrlProp113.xml"/><Relationship Id="rId5" Type="http://schemas.openxmlformats.org/officeDocument/2006/relationships/ctrlProp" Target="../ctrlProps/ctrlProp73.xml"/><Relationship Id="rId15" Type="http://schemas.openxmlformats.org/officeDocument/2006/relationships/ctrlProp" Target="../ctrlProps/ctrlProp83.xml"/><Relationship Id="rId23" Type="http://schemas.openxmlformats.org/officeDocument/2006/relationships/ctrlProp" Target="../ctrlProps/ctrlProp91.xml"/><Relationship Id="rId28" Type="http://schemas.openxmlformats.org/officeDocument/2006/relationships/ctrlProp" Target="../ctrlProps/ctrlProp96.xml"/><Relationship Id="rId36" Type="http://schemas.openxmlformats.org/officeDocument/2006/relationships/ctrlProp" Target="../ctrlProps/ctrlProp104.xml"/><Relationship Id="rId49" Type="http://schemas.openxmlformats.org/officeDocument/2006/relationships/ctrlProp" Target="../ctrlProps/ctrlProp117.xml"/><Relationship Id="rId10" Type="http://schemas.openxmlformats.org/officeDocument/2006/relationships/ctrlProp" Target="../ctrlProps/ctrlProp78.xml"/><Relationship Id="rId19" Type="http://schemas.openxmlformats.org/officeDocument/2006/relationships/ctrlProp" Target="../ctrlProps/ctrlProp87.xml"/><Relationship Id="rId31" Type="http://schemas.openxmlformats.org/officeDocument/2006/relationships/ctrlProp" Target="../ctrlProps/ctrlProp99.xml"/><Relationship Id="rId44" Type="http://schemas.openxmlformats.org/officeDocument/2006/relationships/ctrlProp" Target="../ctrlProps/ctrlProp112.xml"/><Relationship Id="rId52" Type="http://schemas.openxmlformats.org/officeDocument/2006/relationships/ctrlProp" Target="../ctrlProps/ctrlProp120.xml"/><Relationship Id="rId4" Type="http://schemas.openxmlformats.org/officeDocument/2006/relationships/ctrlProp" Target="../ctrlProps/ctrlProp72.xml"/><Relationship Id="rId9" Type="http://schemas.openxmlformats.org/officeDocument/2006/relationships/ctrlProp" Target="../ctrlProps/ctrlProp77.xml"/><Relationship Id="rId14" Type="http://schemas.openxmlformats.org/officeDocument/2006/relationships/ctrlProp" Target="../ctrlProps/ctrlProp82.xml"/><Relationship Id="rId22" Type="http://schemas.openxmlformats.org/officeDocument/2006/relationships/ctrlProp" Target="../ctrlProps/ctrlProp90.xml"/><Relationship Id="rId27" Type="http://schemas.openxmlformats.org/officeDocument/2006/relationships/ctrlProp" Target="../ctrlProps/ctrlProp95.xml"/><Relationship Id="rId30" Type="http://schemas.openxmlformats.org/officeDocument/2006/relationships/ctrlProp" Target="../ctrlProps/ctrlProp98.xml"/><Relationship Id="rId35" Type="http://schemas.openxmlformats.org/officeDocument/2006/relationships/ctrlProp" Target="../ctrlProps/ctrlProp103.xml"/><Relationship Id="rId43" Type="http://schemas.openxmlformats.org/officeDocument/2006/relationships/ctrlProp" Target="../ctrlProps/ctrlProp111.xml"/><Relationship Id="rId48" Type="http://schemas.openxmlformats.org/officeDocument/2006/relationships/ctrlProp" Target="../ctrlProps/ctrlProp116.xml"/><Relationship Id="rId8" Type="http://schemas.openxmlformats.org/officeDocument/2006/relationships/ctrlProp" Target="../ctrlProps/ctrlProp76.xml"/><Relationship Id="rId51" Type="http://schemas.openxmlformats.org/officeDocument/2006/relationships/ctrlProp" Target="../ctrlProps/ctrlProp119.xml"/><Relationship Id="rId3" Type="http://schemas.openxmlformats.org/officeDocument/2006/relationships/vmlDrawing" Target="../drawings/vmlDrawing4.vml"/><Relationship Id="rId12" Type="http://schemas.openxmlformats.org/officeDocument/2006/relationships/ctrlProp" Target="../ctrlProps/ctrlProp80.xml"/><Relationship Id="rId17" Type="http://schemas.openxmlformats.org/officeDocument/2006/relationships/ctrlProp" Target="../ctrlProps/ctrlProp85.xml"/><Relationship Id="rId25" Type="http://schemas.openxmlformats.org/officeDocument/2006/relationships/ctrlProp" Target="../ctrlProps/ctrlProp93.xml"/><Relationship Id="rId33" Type="http://schemas.openxmlformats.org/officeDocument/2006/relationships/ctrlProp" Target="../ctrlProps/ctrlProp101.xml"/><Relationship Id="rId38" Type="http://schemas.openxmlformats.org/officeDocument/2006/relationships/ctrlProp" Target="../ctrlProps/ctrlProp106.xml"/><Relationship Id="rId46" Type="http://schemas.openxmlformats.org/officeDocument/2006/relationships/ctrlProp" Target="../ctrlProps/ctrlProp114.xml"/><Relationship Id="rId20" Type="http://schemas.openxmlformats.org/officeDocument/2006/relationships/ctrlProp" Target="../ctrlProps/ctrlProp88.xml"/><Relationship Id="rId41" Type="http://schemas.openxmlformats.org/officeDocument/2006/relationships/ctrlProp" Target="../ctrlProps/ctrlProp109.xml"/><Relationship Id="rId1" Type="http://schemas.openxmlformats.org/officeDocument/2006/relationships/printerSettings" Target="../printerSettings/printerSettings7.bin"/><Relationship Id="rId6" Type="http://schemas.openxmlformats.org/officeDocument/2006/relationships/ctrlProp" Target="../ctrlProps/ctrlProp7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ADB77-3AD6-42BD-9078-678DA2A29016}">
  <sheetPr codeName="TAB00">
    <tabColor rgb="FF6C1C5B"/>
    <pageSetUpPr fitToPage="1"/>
  </sheetPr>
  <dimension ref="A1:L59"/>
  <sheetViews>
    <sheetView showGridLines="0" tabSelected="1" zoomScaleNormal="100" workbookViewId="0">
      <selection activeCell="L42" sqref="L42"/>
      <extLst>
        <ext xmlns:xlsdti="http://schemas.microsoft.com/office/spreadsheetml/2023/showDataTypeIcons" uri="{77bfe23e-c014-4d31-8a63-9c772dbf06b6}">
          <xlsdti:showDataTypeIcons visible="0"/>
        </ext>
      </extLst>
    </sheetView>
  </sheetViews>
  <sheetFormatPr defaultColWidth="11.42578125" defaultRowHeight="15" x14ac:dyDescent="0.25"/>
  <cols>
    <col min="10" max="10" width="9.28515625" customWidth="1"/>
    <col min="11" max="12" width="42.85546875" customWidth="1"/>
    <col min="13" max="13" width="11.42578125" customWidth="1"/>
  </cols>
  <sheetData>
    <row r="1" spans="1:12" ht="125.25" customHeight="1" x14ac:dyDescent="0.25">
      <c r="A1" s="214"/>
      <c r="B1" s="214"/>
      <c r="C1" s="214"/>
      <c r="D1" s="214"/>
      <c r="E1" s="214"/>
      <c r="F1" s="214"/>
      <c r="G1" s="214"/>
      <c r="H1" s="214"/>
      <c r="I1" s="214"/>
      <c r="K1" s="213" t="s">
        <v>183</v>
      </c>
      <c r="L1" s="213"/>
    </row>
    <row r="2" spans="1:12" x14ac:dyDescent="0.25">
      <c r="A2" s="28" t="s">
        <v>167</v>
      </c>
      <c r="B2" s="28"/>
      <c r="C2" s="28"/>
      <c r="D2" s="28"/>
      <c r="E2" s="28"/>
      <c r="F2" s="28"/>
      <c r="G2" s="28"/>
      <c r="H2" s="28"/>
      <c r="I2" s="28"/>
      <c r="K2" s="214"/>
      <c r="L2" s="214"/>
    </row>
    <row r="3" spans="1:12" ht="15" customHeight="1" x14ac:dyDescent="0.25">
      <c r="A3" s="215" t="s">
        <v>519</v>
      </c>
      <c r="B3" s="215"/>
      <c r="C3" s="215"/>
      <c r="D3" s="215"/>
      <c r="E3" s="215"/>
      <c r="F3" s="215"/>
      <c r="G3" s="215"/>
      <c r="H3" s="215"/>
      <c r="I3" s="215"/>
      <c r="K3" s="5"/>
      <c r="L3" s="5"/>
    </row>
    <row r="4" spans="1:12" ht="15" customHeight="1" x14ac:dyDescent="0.25">
      <c r="A4" s="216"/>
      <c r="B4" s="216"/>
      <c r="C4" s="216"/>
      <c r="D4" s="216"/>
      <c r="E4" s="216"/>
      <c r="F4" s="216"/>
      <c r="G4" s="216"/>
      <c r="H4" s="216"/>
      <c r="I4" s="216"/>
      <c r="K4" s="5"/>
      <c r="L4" s="5"/>
    </row>
    <row r="5" spans="1:12" ht="15" customHeight="1" x14ac:dyDescent="0.25">
      <c r="A5" s="216"/>
      <c r="B5" s="216"/>
      <c r="C5" s="216"/>
      <c r="D5" s="216"/>
      <c r="E5" s="216"/>
      <c r="F5" s="216"/>
      <c r="G5" s="216"/>
      <c r="H5" s="216"/>
      <c r="I5" s="216"/>
      <c r="K5" s="39" t="s">
        <v>172</v>
      </c>
      <c r="L5" s="39" t="s">
        <v>175</v>
      </c>
    </row>
    <row r="6" spans="1:12" ht="15" customHeight="1" x14ac:dyDescent="0.25">
      <c r="A6" s="216"/>
      <c r="B6" s="216"/>
      <c r="C6" s="216"/>
      <c r="D6" s="216"/>
      <c r="E6" s="216"/>
      <c r="F6" s="216"/>
      <c r="G6" s="216"/>
      <c r="H6" s="216"/>
      <c r="I6" s="216"/>
      <c r="K6" s="14" t="s">
        <v>173</v>
      </c>
      <c r="L6" s="14" t="s">
        <v>176</v>
      </c>
    </row>
    <row r="7" spans="1:12" ht="15" customHeight="1" x14ac:dyDescent="0.25">
      <c r="A7" s="216"/>
      <c r="B7" s="216"/>
      <c r="C7" s="216"/>
      <c r="D7" s="216"/>
      <c r="E7" s="216"/>
      <c r="F7" s="216"/>
      <c r="G7" s="216"/>
      <c r="H7" s="216"/>
      <c r="I7" s="216"/>
      <c r="K7" s="14" t="s">
        <v>174</v>
      </c>
      <c r="L7" s="14" t="s">
        <v>177</v>
      </c>
    </row>
    <row r="8" spans="1:12" ht="15" customHeight="1" x14ac:dyDescent="0.25">
      <c r="A8" s="216"/>
      <c r="B8" s="216"/>
      <c r="C8" s="216"/>
      <c r="D8" s="216"/>
      <c r="E8" s="216"/>
      <c r="F8" s="216"/>
      <c r="G8" s="216"/>
      <c r="H8" s="216"/>
      <c r="I8" s="216"/>
      <c r="K8" s="14" t="s">
        <v>179</v>
      </c>
      <c r="L8" s="14" t="s">
        <v>178</v>
      </c>
    </row>
    <row r="9" spans="1:12" ht="15" customHeight="1" x14ac:dyDescent="0.25">
      <c r="A9" s="216"/>
      <c r="B9" s="216"/>
      <c r="C9" s="216"/>
      <c r="D9" s="216"/>
      <c r="E9" s="216"/>
      <c r="F9" s="216"/>
      <c r="G9" s="216"/>
      <c r="H9" s="216"/>
      <c r="I9" s="216"/>
      <c r="K9" s="40" t="s">
        <v>181</v>
      </c>
      <c r="L9" s="40" t="s">
        <v>180</v>
      </c>
    </row>
    <row r="10" spans="1:12" ht="15" customHeight="1" x14ac:dyDescent="0.25">
      <c r="A10" s="216"/>
      <c r="B10" s="216"/>
      <c r="C10" s="216"/>
      <c r="D10" s="216"/>
      <c r="E10" s="216"/>
      <c r="F10" s="216"/>
      <c r="G10" s="216"/>
      <c r="H10" s="216"/>
      <c r="I10" s="216"/>
      <c r="K10" s="38" t="s">
        <v>169</v>
      </c>
      <c r="L10" s="38" t="s">
        <v>168</v>
      </c>
    </row>
    <row r="11" spans="1:12" ht="15" customHeight="1" x14ac:dyDescent="0.25">
      <c r="A11" s="216"/>
      <c r="B11" s="216"/>
      <c r="C11" s="216"/>
      <c r="D11" s="216"/>
      <c r="E11" s="216"/>
      <c r="F11" s="216"/>
      <c r="G11" s="216"/>
      <c r="H11" s="216"/>
      <c r="I11" s="216"/>
    </row>
    <row r="12" spans="1:12" ht="15" customHeight="1" x14ac:dyDescent="0.25">
      <c r="A12" s="216"/>
      <c r="B12" s="216"/>
      <c r="C12" s="216"/>
      <c r="D12" s="216"/>
      <c r="E12" s="216"/>
      <c r="F12" s="216"/>
      <c r="G12" s="216"/>
      <c r="H12" s="216"/>
      <c r="I12" s="216"/>
    </row>
    <row r="13" spans="1:12" ht="15" customHeight="1" x14ac:dyDescent="0.25">
      <c r="A13" s="216"/>
      <c r="B13" s="216"/>
      <c r="C13" s="216"/>
      <c r="D13" s="216"/>
      <c r="E13" s="216"/>
      <c r="F13" s="216"/>
      <c r="G13" s="216"/>
      <c r="H13" s="216"/>
      <c r="I13" s="216"/>
    </row>
    <row r="14" spans="1:12" ht="15" customHeight="1" x14ac:dyDescent="0.25">
      <c r="A14" s="216"/>
      <c r="B14" s="216"/>
      <c r="C14" s="216"/>
      <c r="D14" s="216"/>
      <c r="E14" s="216"/>
      <c r="F14" s="216"/>
      <c r="G14" s="216"/>
      <c r="H14" s="216"/>
      <c r="I14" s="216"/>
    </row>
    <row r="15" spans="1:12" ht="15" customHeight="1" x14ac:dyDescent="0.25">
      <c r="A15" s="216"/>
      <c r="B15" s="216"/>
      <c r="C15" s="216"/>
      <c r="D15" s="216"/>
      <c r="E15" s="216"/>
      <c r="F15" s="216"/>
      <c r="G15" s="216"/>
      <c r="H15" s="216"/>
      <c r="I15" s="216"/>
    </row>
    <row r="16" spans="1:12" ht="15" customHeight="1" x14ac:dyDescent="0.25">
      <c r="A16" s="216"/>
      <c r="B16" s="216"/>
      <c r="C16" s="216"/>
      <c r="D16" s="216"/>
      <c r="E16" s="216"/>
      <c r="F16" s="216"/>
      <c r="G16" s="216"/>
      <c r="H16" s="216"/>
      <c r="I16" s="216"/>
    </row>
    <row r="17" spans="1:12" ht="15" customHeight="1" x14ac:dyDescent="0.25">
      <c r="A17" s="216"/>
      <c r="B17" s="216"/>
      <c r="C17" s="216"/>
      <c r="D17" s="216"/>
      <c r="E17" s="216"/>
      <c r="F17" s="216"/>
      <c r="G17" s="216"/>
      <c r="H17" s="216"/>
      <c r="I17" s="216"/>
      <c r="K17" s="211" t="s">
        <v>182</v>
      </c>
      <c r="L17" s="211"/>
    </row>
    <row r="18" spans="1:12" ht="15" customHeight="1" x14ac:dyDescent="0.25">
      <c r="A18" s="216"/>
      <c r="B18" s="216"/>
      <c r="C18" s="216"/>
      <c r="D18" s="216"/>
      <c r="E18" s="216"/>
      <c r="F18" s="216"/>
      <c r="G18" s="216"/>
      <c r="H18" s="216"/>
      <c r="I18" s="216"/>
      <c r="K18" s="19" t="s">
        <v>184</v>
      </c>
      <c r="L18" s="19" t="s">
        <v>187</v>
      </c>
    </row>
    <row r="19" spans="1:12" ht="15" customHeight="1" x14ac:dyDescent="0.25">
      <c r="A19" s="216"/>
      <c r="B19" s="216"/>
      <c r="C19" s="216"/>
      <c r="D19" s="216"/>
      <c r="E19" s="216"/>
      <c r="F19" s="216"/>
      <c r="G19" s="216"/>
      <c r="H19" s="216"/>
      <c r="I19" s="216"/>
      <c r="K19" s="19" t="s">
        <v>185</v>
      </c>
      <c r="L19" s="19" t="s">
        <v>188</v>
      </c>
    </row>
    <row r="20" spans="1:12" ht="15" customHeight="1" x14ac:dyDescent="0.25">
      <c r="A20" s="216"/>
      <c r="B20" s="216"/>
      <c r="C20" s="216"/>
      <c r="D20" s="216"/>
      <c r="E20" s="216"/>
      <c r="F20" s="216"/>
      <c r="G20" s="216"/>
      <c r="H20" s="216"/>
      <c r="I20" s="216"/>
      <c r="K20" s="19" t="s">
        <v>186</v>
      </c>
      <c r="L20" s="19" t="s">
        <v>189</v>
      </c>
    </row>
    <row r="21" spans="1:12" ht="15" customHeight="1" x14ac:dyDescent="0.25">
      <c r="A21" s="216"/>
      <c r="B21" s="216"/>
      <c r="C21" s="216"/>
      <c r="D21" s="216"/>
      <c r="E21" s="216"/>
      <c r="F21" s="216"/>
      <c r="G21" s="216"/>
      <c r="H21" s="216"/>
      <c r="I21" s="216"/>
      <c r="K21" s="19"/>
      <c r="L21" s="19" t="s">
        <v>190</v>
      </c>
    </row>
    <row r="22" spans="1:12" ht="15" customHeight="1" x14ac:dyDescent="0.25">
      <c r="A22" s="216"/>
      <c r="B22" s="216"/>
      <c r="C22" s="216"/>
      <c r="D22" s="216"/>
      <c r="E22" s="216"/>
      <c r="F22" s="216"/>
      <c r="G22" s="216"/>
      <c r="H22" s="216"/>
      <c r="I22" s="216"/>
      <c r="K22" s="42"/>
      <c r="L22" s="42" t="s">
        <v>191</v>
      </c>
    </row>
    <row r="23" spans="1:12" ht="15" customHeight="1" x14ac:dyDescent="0.25">
      <c r="A23" s="216"/>
      <c r="B23" s="216"/>
      <c r="C23" s="216"/>
      <c r="D23" s="216"/>
      <c r="E23" s="216"/>
      <c r="F23" s="216"/>
      <c r="G23" s="216"/>
      <c r="H23" s="216"/>
      <c r="I23" s="216"/>
      <c r="K23" s="42"/>
      <c r="L23" s="42" t="s">
        <v>192</v>
      </c>
    </row>
    <row r="24" spans="1:12" ht="15" customHeight="1" x14ac:dyDescent="0.25">
      <c r="A24" s="216"/>
      <c r="B24" s="216"/>
      <c r="C24" s="216"/>
      <c r="D24" s="216"/>
      <c r="E24" s="216"/>
      <c r="F24" s="216"/>
      <c r="G24" s="216"/>
      <c r="H24" s="216"/>
      <c r="I24" s="216"/>
      <c r="K24" s="212"/>
      <c r="L24" s="212"/>
    </row>
    <row r="25" spans="1:12" ht="15" customHeight="1" x14ac:dyDescent="0.25">
      <c r="A25" s="216"/>
      <c r="B25" s="216"/>
      <c r="C25" s="216"/>
      <c r="D25" s="216"/>
      <c r="E25" s="216"/>
      <c r="F25" s="216"/>
      <c r="G25" s="216"/>
      <c r="H25" s="216"/>
      <c r="I25" s="216"/>
      <c r="K25" s="217" t="s">
        <v>279</v>
      </c>
      <c r="L25" s="217"/>
    </row>
    <row r="26" spans="1:12" ht="15" customHeight="1" x14ac:dyDescent="0.25">
      <c r="A26" s="216"/>
      <c r="B26" s="216"/>
      <c r="C26" s="216"/>
      <c r="D26" s="216"/>
      <c r="E26" s="216"/>
      <c r="F26" s="216"/>
      <c r="G26" s="216"/>
      <c r="H26" s="216"/>
      <c r="I26" s="216"/>
      <c r="K26" s="217"/>
      <c r="L26" s="217"/>
    </row>
    <row r="27" spans="1:12" ht="15" customHeight="1" x14ac:dyDescent="0.25">
      <c r="A27" s="216"/>
      <c r="B27" s="216"/>
      <c r="C27" s="216"/>
      <c r="D27" s="216"/>
      <c r="E27" s="216"/>
      <c r="F27" s="216"/>
      <c r="G27" s="216"/>
      <c r="H27" s="216"/>
      <c r="I27" s="216"/>
      <c r="K27" s="217"/>
      <c r="L27" s="217"/>
    </row>
    <row r="28" spans="1:12" ht="15" customHeight="1" x14ac:dyDescent="0.25">
      <c r="A28" s="216"/>
      <c r="B28" s="216"/>
      <c r="C28" s="216"/>
      <c r="D28" s="216"/>
      <c r="E28" s="216"/>
      <c r="F28" s="216"/>
      <c r="G28" s="216"/>
      <c r="H28" s="216"/>
      <c r="I28" s="216"/>
      <c r="K28" s="41"/>
      <c r="L28" s="41"/>
    </row>
    <row r="29" spans="1:12" ht="15" customHeight="1" x14ac:dyDescent="0.25">
      <c r="A29" s="216"/>
      <c r="B29" s="216"/>
      <c r="C29" s="216"/>
      <c r="D29" s="216"/>
      <c r="E29" s="216"/>
      <c r="F29" s="216"/>
      <c r="G29" s="216"/>
      <c r="H29" s="216"/>
      <c r="I29" s="216"/>
      <c r="K29" s="41"/>
      <c r="L29" s="41"/>
    </row>
    <row r="30" spans="1:12" ht="15" customHeight="1" x14ac:dyDescent="0.25">
      <c r="A30" s="216"/>
      <c r="B30" s="216"/>
      <c r="C30" s="216"/>
      <c r="D30" s="216"/>
      <c r="E30" s="216"/>
      <c r="F30" s="216"/>
      <c r="G30" s="216"/>
      <c r="H30" s="216"/>
      <c r="I30" s="216"/>
      <c r="L30" s="41"/>
    </row>
    <row r="31" spans="1:12" ht="15" customHeight="1" x14ac:dyDescent="0.25">
      <c r="A31" s="216"/>
      <c r="B31" s="216"/>
      <c r="C31" s="216"/>
      <c r="D31" s="216"/>
      <c r="E31" s="216"/>
      <c r="F31" s="216"/>
      <c r="G31" s="216"/>
      <c r="H31" s="216"/>
      <c r="I31" s="216"/>
    </row>
    <row r="32" spans="1:12" ht="15" customHeight="1" x14ac:dyDescent="0.25">
      <c r="A32" s="216"/>
      <c r="B32" s="216"/>
      <c r="C32" s="216"/>
      <c r="D32" s="216"/>
      <c r="E32" s="216"/>
      <c r="F32" s="216"/>
      <c r="G32" s="216"/>
      <c r="H32" s="216"/>
      <c r="I32" s="216"/>
    </row>
    <row r="33" spans="1:12" ht="15" customHeight="1" x14ac:dyDescent="0.25">
      <c r="A33" s="216"/>
      <c r="B33" s="216"/>
      <c r="C33" s="216"/>
      <c r="D33" s="216"/>
      <c r="E33" s="216"/>
      <c r="F33" s="216"/>
      <c r="G33" s="216"/>
      <c r="H33" s="216"/>
      <c r="I33" s="216"/>
      <c r="K33" s="4"/>
      <c r="L33" s="4"/>
    </row>
    <row r="34" spans="1:12" ht="15" customHeight="1" x14ac:dyDescent="0.25">
      <c r="A34" s="216"/>
      <c r="B34" s="216"/>
      <c r="C34" s="216"/>
      <c r="D34" s="216"/>
      <c r="E34" s="216"/>
      <c r="F34" s="216"/>
      <c r="G34" s="216"/>
      <c r="H34" s="216"/>
      <c r="I34" s="216"/>
      <c r="K34" s="144" t="s">
        <v>520</v>
      </c>
      <c r="L34" s="145" t="s">
        <v>515</v>
      </c>
    </row>
    <row r="35" spans="1:12" ht="15" customHeight="1" x14ac:dyDescent="0.25">
      <c r="A35" s="216"/>
      <c r="B35" s="216"/>
      <c r="C35" s="216"/>
      <c r="D35" s="216"/>
      <c r="E35" s="216"/>
      <c r="F35" s="216"/>
      <c r="G35" s="216"/>
      <c r="H35" s="216"/>
      <c r="I35" s="216"/>
      <c r="K35" s="4"/>
      <c r="L35" s="4"/>
    </row>
    <row r="36" spans="1:12" ht="15" customHeight="1" x14ac:dyDescent="0.25">
      <c r="A36" s="216"/>
      <c r="B36" s="216"/>
      <c r="C36" s="216"/>
      <c r="D36" s="216"/>
      <c r="E36" s="216"/>
      <c r="F36" s="216"/>
      <c r="G36" s="216"/>
      <c r="H36" s="216"/>
      <c r="I36" s="216"/>
    </row>
    <row r="37" spans="1:12" ht="15" customHeight="1" x14ac:dyDescent="0.25">
      <c r="A37" s="216"/>
      <c r="B37" s="216"/>
      <c r="C37" s="216"/>
      <c r="D37" s="216"/>
      <c r="E37" s="216"/>
      <c r="F37" s="216"/>
      <c r="G37" s="216"/>
      <c r="H37" s="216"/>
      <c r="I37" s="216"/>
      <c r="J37" s="16"/>
    </row>
    <row r="38" spans="1:12" ht="15" customHeight="1" x14ac:dyDescent="0.25">
      <c r="A38" s="216"/>
      <c r="B38" s="216"/>
      <c r="C38" s="216"/>
      <c r="D38" s="216"/>
      <c r="E38" s="216"/>
      <c r="F38" s="216"/>
      <c r="G38" s="216"/>
      <c r="H38" s="216"/>
      <c r="I38" s="216"/>
      <c r="J38" s="16"/>
    </row>
    <row r="39" spans="1:12" ht="15" customHeight="1" x14ac:dyDescent="0.25">
      <c r="A39" s="216"/>
      <c r="B39" s="216"/>
      <c r="C39" s="216"/>
      <c r="D39" s="216"/>
      <c r="E39" s="216"/>
      <c r="F39" s="216"/>
      <c r="G39" s="216"/>
      <c r="H39" s="216"/>
      <c r="I39" s="216"/>
    </row>
    <row r="40" spans="1:12" ht="15" customHeight="1" x14ac:dyDescent="0.25">
      <c r="A40" s="216"/>
      <c r="B40" s="216"/>
      <c r="C40" s="216"/>
      <c r="D40" s="216"/>
      <c r="E40" s="216"/>
      <c r="F40" s="216"/>
      <c r="G40" s="216"/>
      <c r="H40" s="216"/>
      <c r="I40" s="216"/>
    </row>
    <row r="41" spans="1:12" ht="15" customHeight="1" x14ac:dyDescent="0.25">
      <c r="A41" s="216"/>
      <c r="B41" s="216"/>
      <c r="C41" s="216"/>
      <c r="D41" s="216"/>
      <c r="E41" s="216"/>
      <c r="F41" s="216"/>
      <c r="G41" s="216"/>
      <c r="H41" s="216"/>
      <c r="I41" s="216"/>
      <c r="K41" s="143"/>
      <c r="L41" s="143"/>
    </row>
    <row r="42" spans="1:12" ht="15" customHeight="1" x14ac:dyDescent="0.25">
      <c r="A42" s="216"/>
      <c r="B42" s="216"/>
      <c r="C42" s="216"/>
      <c r="D42" s="216"/>
      <c r="E42" s="216"/>
      <c r="F42" s="216"/>
      <c r="G42" s="216"/>
      <c r="H42" s="216"/>
      <c r="I42" s="216"/>
    </row>
    <row r="43" spans="1:12" ht="15" customHeight="1" x14ac:dyDescent="0.25">
      <c r="A43" s="216"/>
      <c r="B43" s="216"/>
      <c r="C43" s="216"/>
      <c r="D43" s="216"/>
      <c r="E43" s="216"/>
      <c r="F43" s="216"/>
      <c r="G43" s="216"/>
      <c r="H43" s="216"/>
      <c r="I43" s="216"/>
    </row>
    <row r="44" spans="1:12" x14ac:dyDescent="0.25">
      <c r="A44" s="216"/>
      <c r="B44" s="216"/>
      <c r="C44" s="216"/>
      <c r="D44" s="216"/>
      <c r="E44" s="216"/>
      <c r="F44" s="216"/>
      <c r="G44" s="216"/>
      <c r="H44" s="216"/>
      <c r="I44" s="216"/>
    </row>
    <row r="45" spans="1:12" x14ac:dyDescent="0.25">
      <c r="A45" s="27"/>
      <c r="B45" s="27"/>
      <c r="C45" s="27"/>
      <c r="D45" s="27"/>
      <c r="E45" s="27"/>
      <c r="F45" s="27"/>
      <c r="G45" s="27"/>
    </row>
    <row r="46" spans="1:12" x14ac:dyDescent="0.25">
      <c r="A46" s="27"/>
      <c r="B46" s="27"/>
      <c r="C46" s="27"/>
      <c r="D46" s="27"/>
      <c r="E46" s="27"/>
      <c r="F46" s="27"/>
      <c r="G46" s="27"/>
    </row>
    <row r="47" spans="1:12" x14ac:dyDescent="0.25">
      <c r="A47" s="27"/>
      <c r="B47" s="27"/>
      <c r="C47" s="27"/>
      <c r="D47" s="27"/>
      <c r="E47" s="27"/>
      <c r="F47" s="27"/>
      <c r="G47" s="27"/>
    </row>
    <row r="48" spans="1:12" x14ac:dyDescent="0.25">
      <c r="A48" s="27"/>
      <c r="B48" s="27"/>
      <c r="C48" s="27"/>
      <c r="D48" s="27"/>
      <c r="E48" s="27"/>
      <c r="F48" s="27"/>
      <c r="G48" s="27"/>
    </row>
    <row r="49" spans="1:7" x14ac:dyDescent="0.25">
      <c r="A49" s="27"/>
      <c r="B49" s="27"/>
      <c r="C49" s="27"/>
      <c r="D49" s="27"/>
      <c r="E49" s="27"/>
      <c r="F49" s="27"/>
      <c r="G49" s="27"/>
    </row>
    <row r="50" spans="1:7" x14ac:dyDescent="0.25">
      <c r="A50" s="27"/>
      <c r="B50" s="27"/>
      <c r="C50" s="27"/>
      <c r="D50" s="27"/>
      <c r="E50" s="27"/>
      <c r="F50" s="27"/>
      <c r="G50" s="27"/>
    </row>
    <row r="51" spans="1:7" x14ac:dyDescent="0.25">
      <c r="A51" s="27"/>
      <c r="B51" s="27"/>
      <c r="C51" s="27"/>
      <c r="D51" s="27"/>
      <c r="E51" s="27"/>
      <c r="F51" s="27"/>
      <c r="G51" s="27"/>
    </row>
    <row r="52" spans="1:7" x14ac:dyDescent="0.25">
      <c r="A52" s="27"/>
      <c r="B52" s="27"/>
      <c r="C52" s="27"/>
      <c r="D52" s="27"/>
      <c r="E52" s="27"/>
      <c r="F52" s="27"/>
      <c r="G52" s="27"/>
    </row>
    <row r="53" spans="1:7" x14ac:dyDescent="0.25">
      <c r="A53" s="27"/>
      <c r="B53" s="27"/>
      <c r="C53" s="27"/>
      <c r="D53" s="27"/>
      <c r="E53" s="27"/>
      <c r="F53" s="27"/>
      <c r="G53" s="27"/>
    </row>
    <row r="54" spans="1:7" x14ac:dyDescent="0.25">
      <c r="A54" s="27"/>
      <c r="B54" s="27"/>
      <c r="C54" s="27"/>
      <c r="D54" s="27"/>
      <c r="E54" s="27"/>
      <c r="F54" s="27"/>
      <c r="G54" s="27"/>
    </row>
    <row r="55" spans="1:7" x14ac:dyDescent="0.25">
      <c r="A55" s="27"/>
      <c r="B55" s="27"/>
      <c r="C55" s="27"/>
      <c r="D55" s="27"/>
      <c r="E55" s="27"/>
      <c r="F55" s="27"/>
      <c r="G55" s="27"/>
    </row>
    <row r="56" spans="1:7" x14ac:dyDescent="0.25">
      <c r="A56" s="27"/>
      <c r="B56" s="27"/>
      <c r="C56" s="27"/>
      <c r="D56" s="27"/>
      <c r="E56" s="27"/>
      <c r="F56" s="27"/>
      <c r="G56" s="27"/>
    </row>
    <row r="57" spans="1:7" x14ac:dyDescent="0.25">
      <c r="A57" s="27"/>
      <c r="B57" s="27"/>
      <c r="C57" s="27"/>
      <c r="D57" s="27"/>
      <c r="E57" s="27"/>
      <c r="F57" s="27"/>
      <c r="G57" s="27"/>
    </row>
    <row r="58" spans="1:7" x14ac:dyDescent="0.25">
      <c r="A58" s="27"/>
      <c r="B58" s="27"/>
      <c r="C58" s="27"/>
      <c r="D58" s="27"/>
      <c r="E58" s="27"/>
      <c r="F58" s="27"/>
      <c r="G58" s="27"/>
    </row>
    <row r="59" spans="1:7" x14ac:dyDescent="0.25">
      <c r="A59" s="27"/>
      <c r="B59" s="27"/>
      <c r="C59" s="27"/>
      <c r="D59" s="27"/>
      <c r="E59" s="27"/>
      <c r="F59" s="27"/>
      <c r="G59" s="27"/>
    </row>
  </sheetData>
  <sheetProtection algorithmName="SHA-512" hashValue="LdBox1jS+vNypUq5rz1B3iZVVKMtKKhQsdzbjtfotpHNVpeYbRpg/+uaQaayOlQ5ovVsFPbvKHL8nYy/vSVTGQ==" saltValue="ctbmt+azX0O40YqRBqQgfQ==" spinCount="100000" sheet="1" selectLockedCells="1" selectUnlockedCells="1"/>
  <mergeCells count="7">
    <mergeCell ref="K17:L17"/>
    <mergeCell ref="K24:L24"/>
    <mergeCell ref="K1:L1"/>
    <mergeCell ref="K2:L2"/>
    <mergeCell ref="A1:I1"/>
    <mergeCell ref="A3:I44"/>
    <mergeCell ref="K25:L27"/>
  </mergeCells>
  <hyperlinks>
    <hyperlink ref="L10" r:id="rId1" xr:uid="{D1B4C761-070F-467A-ACAD-3EE7259CCDC7}"/>
    <hyperlink ref="K10" r:id="rId2" xr:uid="{E86D010E-9FDE-42CE-A911-3071F82FEB8F}"/>
  </hyperlinks>
  <pageMargins left="0.7" right="0.7" top="0.78740157499999996" bottom="0.78740157499999996" header="0.3" footer="0.3"/>
  <pageSetup paperSize="9" scale="64" orientation="landscape"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D24F-AC07-4A7E-8502-C96061B90548}">
  <sheetPr codeName="TAB41"/>
  <dimension ref="A1:I17"/>
  <sheetViews>
    <sheetView workbookViewId="0"/>
  </sheetViews>
  <sheetFormatPr defaultColWidth="11.42578125" defaultRowHeight="15" x14ac:dyDescent="0.25"/>
  <cols>
    <col min="1" max="1" width="42.140625" style="118" bestFit="1" customWidth="1"/>
    <col min="2" max="2" width="52.85546875" style="118" bestFit="1" customWidth="1"/>
    <col min="3" max="3" width="58.42578125" style="118" bestFit="1" customWidth="1"/>
    <col min="4" max="4" width="11.42578125" style="118"/>
    <col min="5" max="5" width="58.42578125" style="118" bestFit="1" customWidth="1"/>
    <col min="6" max="16384" width="11.42578125" style="118"/>
  </cols>
  <sheetData>
    <row r="1" spans="1:9" x14ac:dyDescent="0.25">
      <c r="A1" s="119" t="s">
        <v>195</v>
      </c>
      <c r="B1" s="121" t="s">
        <v>197</v>
      </c>
    </row>
    <row r="2" spans="1:9" x14ac:dyDescent="0.25">
      <c r="A2" s="118" t="s">
        <v>204</v>
      </c>
      <c r="B2" s="120">
        <f>IF(OR(ISBLANK(DIGITALISIERUNG!$K$4),ISBLANK(DIGITALISIERUNG!$K$6),ISBLANK(DIGITALISIERUNG!$K$8),ISBLANK(DIGITALISIERUNG!$K$10)),0,1)</f>
        <v>0</v>
      </c>
    </row>
    <row r="4" spans="1:9" x14ac:dyDescent="0.25">
      <c r="A4" s="119" t="s">
        <v>57</v>
      </c>
      <c r="B4" s="121" t="s">
        <v>229</v>
      </c>
      <c r="C4" s="118" t="s">
        <v>284</v>
      </c>
      <c r="D4" s="118" t="s">
        <v>241</v>
      </c>
      <c r="E4" s="118" t="s">
        <v>242</v>
      </c>
    </row>
    <row r="5" spans="1:9" x14ac:dyDescent="0.25">
      <c r="A5" s="118" t="s">
        <v>223</v>
      </c>
      <c r="B5" s="122">
        <f>IF(OR(helper_DIGITALISIERUNG!$C5=0,AND(helper_DIGITALISIERUNG!$C5=1,helper_DIGITALISIERUNG!$E5)),0,1)</f>
        <v>0</v>
      </c>
      <c r="C5" s="122">
        <v>0</v>
      </c>
      <c r="E5" s="118" t="b">
        <v>0</v>
      </c>
      <c r="F5" s="326" t="s">
        <v>233</v>
      </c>
      <c r="G5" s="326"/>
      <c r="H5" s="326"/>
      <c r="I5" s="326"/>
    </row>
    <row r="6" spans="1:9" x14ac:dyDescent="0.25">
      <c r="A6" s="118" t="s">
        <v>224</v>
      </c>
      <c r="B6" s="122">
        <f>IF(OR(helper_DIGITALISIERUNG!$C6=0,AND(helper_DIGITALISIERUNG!$C6=1,helper_DIGITALISIERUNG!$E6)),0,1)</f>
        <v>0</v>
      </c>
      <c r="C6" s="122">
        <v>0</v>
      </c>
      <c r="E6" s="118" t="b">
        <v>0</v>
      </c>
      <c r="F6" s="326"/>
      <c r="G6" s="326"/>
      <c r="H6" s="326"/>
      <c r="I6" s="326"/>
    </row>
    <row r="7" spans="1:9" x14ac:dyDescent="0.25">
      <c r="A7" s="118" t="s">
        <v>225</v>
      </c>
      <c r="B7" s="122">
        <f>IF(OR(helper_DIGITALISIERUNG!$C7=0,AND(helper_DIGITALISIERUNG!$C7=1,helper_DIGITALISIERUNG!$E7)),0,1)</f>
        <v>0</v>
      </c>
      <c r="C7" s="122">
        <v>0</v>
      </c>
      <c r="E7" s="118" t="b">
        <v>0</v>
      </c>
      <c r="F7" s="326"/>
      <c r="G7" s="326"/>
      <c r="H7" s="326"/>
      <c r="I7" s="326"/>
    </row>
    <row r="8" spans="1:9" x14ac:dyDescent="0.25">
      <c r="A8" s="118" t="s">
        <v>224</v>
      </c>
      <c r="B8" s="122">
        <f>IF(OR(helper_DIGITALISIERUNG!$C8=0,AND(helper_DIGITALISIERUNG!$C8=1,helper_DIGITALISIERUNG!$E8)),0,1)</f>
        <v>0</v>
      </c>
      <c r="C8" s="122">
        <v>0</v>
      </c>
      <c r="E8" s="118" t="b">
        <v>0</v>
      </c>
      <c r="F8" s="326"/>
      <c r="G8" s="326"/>
      <c r="H8" s="326"/>
      <c r="I8" s="326"/>
    </row>
    <row r="9" spans="1:9" x14ac:dyDescent="0.25">
      <c r="A9" s="118" t="s">
        <v>226</v>
      </c>
      <c r="B9" s="122">
        <f>IF(OR(helper_DIGITALISIERUNG!$C9=0,AND(helper_DIGITALISIERUNG!$C9=1,helper_DIGITALISIERUNG!$E9)),0,1)</f>
        <v>0</v>
      </c>
      <c r="C9" s="122">
        <v>0</v>
      </c>
      <c r="E9" s="118" t="b">
        <v>0</v>
      </c>
      <c r="F9" s="326"/>
      <c r="G9" s="326"/>
      <c r="H9" s="326"/>
      <c r="I9" s="326"/>
    </row>
    <row r="10" spans="1:9" x14ac:dyDescent="0.25">
      <c r="A10" s="118" t="s">
        <v>224</v>
      </c>
      <c r="B10" s="122">
        <f>IF(OR(helper_DIGITALISIERUNG!$C10=0,AND(helper_DIGITALISIERUNG!$C10=1,helper_DIGITALISIERUNG!$E10)),0,1)</f>
        <v>0</v>
      </c>
      <c r="C10" s="122">
        <v>0</v>
      </c>
      <c r="E10" s="118" t="b">
        <v>0</v>
      </c>
      <c r="F10" s="326"/>
      <c r="G10" s="326"/>
      <c r="H10" s="326"/>
      <c r="I10" s="326"/>
    </row>
    <row r="11" spans="1:9" x14ac:dyDescent="0.25">
      <c r="A11" s="479" t="s">
        <v>227</v>
      </c>
      <c r="B11" s="122">
        <f>IF(OR(helper_DIGITALISIERUNG!$C11=0,AND(helper_DIGITALISIERUNG!$C11=1,helper_DIGITALISIERUNG!$E11)),0,1)</f>
        <v>0</v>
      </c>
      <c r="C11" s="122">
        <v>0</v>
      </c>
      <c r="D11" s="118" t="s">
        <v>230</v>
      </c>
      <c r="E11" s="118" t="b">
        <v>0</v>
      </c>
      <c r="F11" s="326" t="s">
        <v>234</v>
      </c>
      <c r="G11" s="326"/>
      <c r="H11" s="326"/>
      <c r="I11" s="326"/>
    </row>
    <row r="12" spans="1:9" x14ac:dyDescent="0.25">
      <c r="A12" s="479"/>
      <c r="B12" s="122">
        <f>IF(OR(helper_DIGITALISIERUNG!$C12=0,AND(helper_DIGITALISIERUNG!$C12=1,helper_DIGITALISIERUNG!$E12)),0,1)</f>
        <v>0</v>
      </c>
      <c r="C12" s="122">
        <v>0</v>
      </c>
      <c r="D12" s="118" t="s">
        <v>231</v>
      </c>
      <c r="E12" s="118" t="b">
        <v>0</v>
      </c>
      <c r="F12" s="326"/>
      <c r="G12" s="326"/>
      <c r="H12" s="326"/>
      <c r="I12" s="326"/>
    </row>
    <row r="13" spans="1:9" x14ac:dyDescent="0.25">
      <c r="A13" s="479"/>
      <c r="B13" s="122">
        <f>IF(OR(helper_DIGITALISIERUNG!$C13=0,AND(helper_DIGITALISIERUNG!$C13=1,helper_DIGITALISIERUNG!$E13)),0,1)</f>
        <v>0</v>
      </c>
      <c r="C13" s="122">
        <v>0</v>
      </c>
      <c r="D13" s="118" t="s">
        <v>232</v>
      </c>
      <c r="E13" s="118" t="b">
        <v>0</v>
      </c>
      <c r="F13" s="326"/>
      <c r="G13" s="326"/>
      <c r="H13" s="326"/>
      <c r="I13" s="326"/>
    </row>
    <row r="14" spans="1:9" x14ac:dyDescent="0.25">
      <c r="A14" s="118" t="s">
        <v>228</v>
      </c>
      <c r="B14" s="122">
        <f>IF(OR(helper_DIGITALISIERUNG!$C14=0,AND(helper_DIGITALISIERUNG!$C14=2,helper_DIGITALISIERUNG!$E14)),0,1)</f>
        <v>0</v>
      </c>
      <c r="C14" s="122">
        <v>0</v>
      </c>
      <c r="E14" s="118" t="b">
        <v>0</v>
      </c>
      <c r="F14" s="118" t="s">
        <v>235</v>
      </c>
    </row>
    <row r="15" spans="1:9" x14ac:dyDescent="0.25">
      <c r="A15" s="118" t="s">
        <v>194</v>
      </c>
      <c r="B15" s="122">
        <f>IF(ISBLANK(DIGITALISIERUNG!$B$28),0,1)</f>
        <v>0</v>
      </c>
    </row>
    <row r="17" spans="1:2" x14ac:dyDescent="0.25">
      <c r="A17" s="118" t="s">
        <v>283</v>
      </c>
      <c r="B17" s="118" cm="1">
        <f t="array" ref="B17">IF(OR($B$2=0,$B$5:$B$15=0),0,1)</f>
        <v>0</v>
      </c>
    </row>
  </sheetData>
  <sheetProtection algorithmName="SHA-512" hashValue="KR9Kpk3/sxftHhhlBjrUvEZwaftx1cBl3onJ4h56stkbmUGDmJxil6iSBl2rY/m4zDExHMrN+8w+FqtHobUGDQ==" saltValue="KDz9zzH7GiMYxjFVK9GWcQ==" spinCount="100000" sheet="1" objects="1" scenarios="1" selectLockedCells="1" selectUnlockedCells="1"/>
  <mergeCells count="3">
    <mergeCell ref="A11:A13"/>
    <mergeCell ref="F5:I10"/>
    <mergeCell ref="F11:I13"/>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F4B1-B1AC-4B1C-B12A-373A1333701C}">
  <sheetPr codeName="TAB50">
    <tabColor rgb="FFD3F3CE"/>
    <pageSetUpPr fitToPage="1"/>
  </sheetPr>
  <dimension ref="A1:R34"/>
  <sheetViews>
    <sheetView showGridLines="0" showRowColHeaders="0" workbookViewId="0">
      <selection activeCell="B22" sqref="B22:Q22"/>
      <extLst>
        <ext xmlns:xlsdti="http://schemas.microsoft.com/office/spreadsheetml/2023/showDataTypeIcons" uri="{77bfe23e-c014-4d31-8a63-9c772dbf06b6}">
          <xlsdti:showDataTypeIcons visible="0"/>
        </ext>
      </extLst>
    </sheetView>
  </sheetViews>
  <sheetFormatPr defaultColWidth="11.42578125" defaultRowHeight="15" x14ac:dyDescent="0.25"/>
  <cols>
    <col min="1" max="1" width="5.140625" customWidth="1"/>
    <col min="2" max="3" width="2.85546875" customWidth="1"/>
    <col min="4" max="4" width="9.42578125" bestFit="1" customWidth="1"/>
    <col min="6" max="6" width="11.42578125" customWidth="1"/>
    <col min="7" max="7" width="3.42578125" customWidth="1"/>
    <col min="8" max="8" width="1.7109375" customWidth="1"/>
    <col min="9" max="9" width="5.140625" customWidth="1"/>
    <col min="10" max="10" width="2.85546875" customWidth="1"/>
    <col min="11" max="11" width="6.28515625" customWidth="1"/>
    <col min="12" max="13" width="5" customWidth="1"/>
    <col min="14" max="15" width="5.7109375" customWidth="1"/>
    <col min="17" max="18" width="2.85546875" customWidth="1"/>
  </cols>
  <sheetData>
    <row r="1" spans="1:18" x14ac:dyDescent="0.25">
      <c r="A1" s="301" t="s">
        <v>58</v>
      </c>
      <c r="B1" s="301"/>
      <c r="C1" s="301"/>
      <c r="D1" s="301"/>
      <c r="E1" s="301"/>
      <c r="F1" s="301"/>
      <c r="G1" s="301"/>
      <c r="H1" s="301"/>
      <c r="I1" s="301"/>
      <c r="J1" s="301"/>
      <c r="K1" s="301"/>
      <c r="L1" s="301"/>
      <c r="M1" s="301"/>
      <c r="N1" s="301"/>
      <c r="O1" s="301"/>
      <c r="P1" s="301"/>
      <c r="Q1" s="301"/>
      <c r="R1" s="301"/>
    </row>
    <row r="2" spans="1:18" ht="11.25" customHeight="1" x14ac:dyDescent="0.25">
      <c r="A2" s="310"/>
      <c r="B2" s="310"/>
      <c r="C2" s="310"/>
      <c r="D2" s="310"/>
      <c r="E2" s="310"/>
      <c r="F2" s="310"/>
      <c r="G2" s="310"/>
      <c r="H2" s="310"/>
      <c r="I2" s="310"/>
      <c r="J2" s="310"/>
      <c r="K2" s="310"/>
      <c r="L2" s="310"/>
      <c r="M2" s="310"/>
      <c r="N2" s="310"/>
      <c r="O2" s="310"/>
      <c r="P2" s="310"/>
      <c r="Q2" s="310"/>
      <c r="R2" s="6"/>
    </row>
    <row r="3" spans="1:18" ht="15" customHeight="1" x14ac:dyDescent="0.25">
      <c r="A3" s="458" t="s">
        <v>59</v>
      </c>
      <c r="B3" s="271"/>
      <c r="C3" s="271"/>
      <c r="D3" s="271"/>
      <c r="E3" s="271"/>
      <c r="F3" s="271"/>
      <c r="G3" s="271"/>
      <c r="H3" s="461"/>
      <c r="I3" s="232" t="s">
        <v>2</v>
      </c>
      <c r="J3" s="83"/>
      <c r="K3" s="293"/>
      <c r="L3" s="294"/>
      <c r="M3" s="294"/>
      <c r="N3" s="294"/>
      <c r="O3" s="294"/>
      <c r="P3" s="294"/>
      <c r="Q3" s="295"/>
      <c r="R3" s="21">
        <f>helper_FLEXIBILISIERUNG!$B$2</f>
        <v>0</v>
      </c>
    </row>
    <row r="4" spans="1:18" ht="9" customHeight="1" x14ac:dyDescent="0.25">
      <c r="A4" s="459"/>
      <c r="B4" s="219"/>
      <c r="C4" s="219"/>
      <c r="D4" s="219"/>
      <c r="E4" s="219"/>
      <c r="F4" s="219"/>
      <c r="G4" s="219"/>
      <c r="H4" s="462"/>
      <c r="I4" s="233"/>
      <c r="J4" s="2"/>
      <c r="K4" s="297" t="s">
        <v>6</v>
      </c>
      <c r="L4" s="297"/>
      <c r="M4" s="297"/>
      <c r="N4" s="297"/>
      <c r="O4" s="297"/>
      <c r="P4" s="297"/>
      <c r="Q4" s="298"/>
      <c r="R4" s="6"/>
    </row>
    <row r="5" spans="1:18" x14ac:dyDescent="0.25">
      <c r="A5" s="459"/>
      <c r="B5" s="219"/>
      <c r="C5" s="219"/>
      <c r="D5" s="219"/>
      <c r="E5" s="219"/>
      <c r="F5" s="219"/>
      <c r="G5" s="219"/>
      <c r="H5" s="462"/>
      <c r="I5" s="233"/>
      <c r="J5" s="2"/>
      <c r="K5" s="293"/>
      <c r="L5" s="294"/>
      <c r="M5" s="294"/>
      <c r="N5" s="294"/>
      <c r="O5" s="294"/>
      <c r="P5" s="294"/>
      <c r="Q5" s="295"/>
      <c r="R5" s="6"/>
    </row>
    <row r="6" spans="1:18" ht="9" customHeight="1" x14ac:dyDescent="0.25">
      <c r="A6" s="459"/>
      <c r="B6" s="219"/>
      <c r="C6" s="219"/>
      <c r="D6" s="219"/>
      <c r="E6" s="219"/>
      <c r="F6" s="219"/>
      <c r="G6" s="219"/>
      <c r="H6" s="462"/>
      <c r="I6" s="233"/>
      <c r="J6" s="2"/>
      <c r="K6" s="297" t="s">
        <v>7</v>
      </c>
      <c r="L6" s="297"/>
      <c r="M6" s="297"/>
      <c r="N6" s="297"/>
      <c r="O6" s="297"/>
      <c r="P6" s="297"/>
      <c r="Q6" s="298"/>
      <c r="R6" s="6"/>
    </row>
    <row r="7" spans="1:18" x14ac:dyDescent="0.25">
      <c r="A7" s="459"/>
      <c r="B7" s="219"/>
      <c r="C7" s="219"/>
      <c r="D7" s="219"/>
      <c r="E7" s="219"/>
      <c r="F7" s="219"/>
      <c r="G7" s="219"/>
      <c r="H7" s="462"/>
      <c r="I7" s="233"/>
      <c r="J7" s="2"/>
      <c r="K7" s="293"/>
      <c r="L7" s="294"/>
      <c r="M7" s="294"/>
      <c r="N7" s="294"/>
      <c r="O7" s="294"/>
      <c r="P7" s="294"/>
      <c r="Q7" s="295"/>
      <c r="R7" s="6"/>
    </row>
    <row r="8" spans="1:18" ht="9" customHeight="1" x14ac:dyDescent="0.25">
      <c r="A8" s="459"/>
      <c r="B8" s="219"/>
      <c r="C8" s="219"/>
      <c r="D8" s="219"/>
      <c r="E8" s="219"/>
      <c r="F8" s="219"/>
      <c r="G8" s="219"/>
      <c r="H8" s="462"/>
      <c r="I8" s="233"/>
      <c r="J8" s="2"/>
      <c r="K8" s="297" t="s">
        <v>8</v>
      </c>
      <c r="L8" s="297"/>
      <c r="M8" s="297"/>
      <c r="N8" s="297"/>
      <c r="O8" s="297"/>
      <c r="P8" s="297"/>
      <c r="Q8" s="298"/>
      <c r="R8" s="6"/>
    </row>
    <row r="9" spans="1:18" x14ac:dyDescent="0.25">
      <c r="A9" s="459"/>
      <c r="B9" s="219"/>
      <c r="C9" s="219"/>
      <c r="D9" s="219"/>
      <c r="E9" s="219"/>
      <c r="F9" s="219"/>
      <c r="G9" s="219"/>
      <c r="H9" s="462"/>
      <c r="I9" s="233"/>
      <c r="J9" s="2"/>
      <c r="K9" s="293"/>
      <c r="L9" s="294"/>
      <c r="M9" s="294"/>
      <c r="N9" s="294"/>
      <c r="O9" s="294"/>
      <c r="P9" s="294"/>
      <c r="Q9" s="295"/>
      <c r="R9" s="6"/>
    </row>
    <row r="10" spans="1:18" ht="9" customHeight="1" x14ac:dyDescent="0.25">
      <c r="A10" s="459"/>
      <c r="B10" s="219"/>
      <c r="C10" s="219"/>
      <c r="D10" s="219"/>
      <c r="E10" s="219"/>
      <c r="F10" s="219"/>
      <c r="G10" s="219"/>
      <c r="H10" s="462"/>
      <c r="I10" s="233"/>
      <c r="J10" s="2"/>
      <c r="K10" s="297" t="s">
        <v>9</v>
      </c>
      <c r="L10" s="297"/>
      <c r="M10" s="297"/>
      <c r="N10" s="297"/>
      <c r="O10" s="297"/>
      <c r="P10" s="297"/>
      <c r="Q10" s="298"/>
      <c r="R10" s="6"/>
    </row>
    <row r="11" spans="1:18" ht="15" customHeight="1" x14ac:dyDescent="0.25">
      <c r="A11" s="459"/>
      <c r="B11" s="219"/>
      <c r="C11" s="219"/>
      <c r="D11" s="219"/>
      <c r="E11" s="219"/>
      <c r="F11" s="219"/>
      <c r="G11" s="219"/>
      <c r="H11" s="462"/>
      <c r="I11" s="233"/>
      <c r="J11" s="2"/>
      <c r="K11" s="293"/>
      <c r="L11" s="294"/>
      <c r="M11" s="294"/>
      <c r="N11" s="294"/>
      <c r="O11" s="294"/>
      <c r="P11" s="294"/>
      <c r="Q11" s="295"/>
      <c r="R11" s="6"/>
    </row>
    <row r="12" spans="1:18" ht="9" customHeight="1" x14ac:dyDescent="0.25">
      <c r="A12" s="460"/>
      <c r="B12" s="220"/>
      <c r="C12" s="220"/>
      <c r="D12" s="220"/>
      <c r="E12" s="220"/>
      <c r="F12" s="220"/>
      <c r="G12" s="220"/>
      <c r="H12" s="463"/>
      <c r="I12" s="275"/>
      <c r="J12" s="3"/>
      <c r="K12" s="299" t="s">
        <v>27</v>
      </c>
      <c r="L12" s="299"/>
      <c r="M12" s="299"/>
      <c r="N12" s="299"/>
      <c r="O12" s="299"/>
      <c r="P12" s="299"/>
      <c r="Q12" s="300"/>
      <c r="R12" s="6"/>
    </row>
    <row r="13" spans="1:18" ht="11.25" customHeight="1" x14ac:dyDescent="0.25">
      <c r="A13" s="279"/>
      <c r="B13" s="279"/>
      <c r="C13" s="279"/>
      <c r="D13" s="279"/>
      <c r="E13" s="279"/>
      <c r="F13" s="279"/>
      <c r="G13" s="279"/>
      <c r="H13" s="279"/>
      <c r="I13" s="279"/>
      <c r="J13" s="279"/>
      <c r="K13" s="279"/>
      <c r="L13" s="279"/>
      <c r="M13" s="279"/>
      <c r="N13" s="279"/>
      <c r="O13" s="279"/>
      <c r="P13" s="279"/>
      <c r="Q13" s="279"/>
      <c r="R13" s="6"/>
    </row>
    <row r="14" spans="1:18" ht="15" customHeight="1" x14ac:dyDescent="0.25">
      <c r="A14" s="272" t="s">
        <v>60</v>
      </c>
      <c r="B14" s="259"/>
      <c r="C14" s="259"/>
      <c r="D14" s="259"/>
      <c r="E14" s="259"/>
      <c r="F14" s="259"/>
      <c r="G14" s="259"/>
      <c r="H14" s="259"/>
      <c r="I14" s="284" t="s">
        <v>18</v>
      </c>
      <c r="J14" s="285"/>
      <c r="K14" s="47" t="s">
        <v>19</v>
      </c>
      <c r="L14" s="284" t="s">
        <v>154</v>
      </c>
      <c r="M14" s="285"/>
      <c r="N14" s="490" t="s">
        <v>159</v>
      </c>
      <c r="O14" s="490"/>
      <c r="P14" s="490"/>
      <c r="Q14" s="490"/>
      <c r="R14" s="6"/>
    </row>
    <row r="15" spans="1:18" x14ac:dyDescent="0.25">
      <c r="A15" s="273"/>
      <c r="B15" s="271" t="s">
        <v>155</v>
      </c>
      <c r="C15" s="271"/>
      <c r="D15" s="271"/>
      <c r="E15" s="271"/>
      <c r="F15" s="271"/>
      <c r="G15" s="271"/>
      <c r="H15" s="271"/>
      <c r="I15" s="14"/>
      <c r="J15" s="14"/>
      <c r="K15" s="14"/>
      <c r="N15" s="480" t="s">
        <v>158</v>
      </c>
      <c r="O15" s="480"/>
      <c r="P15" s="480"/>
      <c r="Q15" s="481"/>
      <c r="R15" s="484">
        <f>helper_FLEXIBILISIERUNG!$B$5</f>
        <v>0</v>
      </c>
    </row>
    <row r="16" spans="1:18" ht="30" customHeight="1" x14ac:dyDescent="0.25">
      <c r="A16" s="273"/>
      <c r="B16" s="220"/>
      <c r="C16" s="220"/>
      <c r="D16" s="220"/>
      <c r="E16" s="220"/>
      <c r="F16" s="220"/>
      <c r="G16" s="220"/>
      <c r="H16" s="220"/>
      <c r="I16" s="214"/>
      <c r="J16" s="214"/>
      <c r="K16" s="214"/>
      <c r="N16" s="482"/>
      <c r="O16" s="482"/>
      <c r="P16" s="482"/>
      <c r="Q16" s="483"/>
      <c r="R16" s="484"/>
    </row>
    <row r="17" spans="1:18" x14ac:dyDescent="0.25">
      <c r="A17" s="273"/>
      <c r="B17" s="271" t="s">
        <v>156</v>
      </c>
      <c r="C17" s="271"/>
      <c r="D17" s="271"/>
      <c r="E17" s="271"/>
      <c r="F17" s="271"/>
      <c r="G17" s="271"/>
      <c r="H17" s="271"/>
      <c r="I17" s="14"/>
      <c r="J17" s="14"/>
      <c r="K17" s="14"/>
      <c r="N17" s="480" t="s">
        <v>158</v>
      </c>
      <c r="O17" s="480"/>
      <c r="P17" s="480"/>
      <c r="Q17" s="481"/>
      <c r="R17" s="484">
        <f>helper_FLEXIBILISIERUNG!$B$6</f>
        <v>0</v>
      </c>
    </row>
    <row r="18" spans="1:18" ht="30" customHeight="1" x14ac:dyDescent="0.25">
      <c r="A18" s="273"/>
      <c r="B18" s="220"/>
      <c r="C18" s="220"/>
      <c r="D18" s="220"/>
      <c r="E18" s="220"/>
      <c r="F18" s="220"/>
      <c r="G18" s="220"/>
      <c r="H18" s="220"/>
      <c r="I18" s="214"/>
      <c r="J18" s="214"/>
      <c r="K18" s="214"/>
      <c r="N18" s="482"/>
      <c r="O18" s="482"/>
      <c r="P18" s="482"/>
      <c r="Q18" s="483"/>
      <c r="R18" s="484"/>
    </row>
    <row r="19" spans="1:18" x14ac:dyDescent="0.25">
      <c r="A19" s="273"/>
      <c r="B19" s="271" t="s">
        <v>157</v>
      </c>
      <c r="C19" s="271"/>
      <c r="D19" s="271"/>
      <c r="E19" s="271"/>
      <c r="F19" s="271"/>
      <c r="G19" s="271"/>
      <c r="H19" s="271"/>
      <c r="I19" s="14"/>
      <c r="J19" s="14"/>
      <c r="K19" s="14"/>
      <c r="N19" s="480" t="s">
        <v>158</v>
      </c>
      <c r="O19" s="480"/>
      <c r="P19" s="480"/>
      <c r="Q19" s="481"/>
      <c r="R19" s="484">
        <f>helper_FLEXIBILISIERUNG!$B$7</f>
        <v>0</v>
      </c>
    </row>
    <row r="20" spans="1:18" ht="30" customHeight="1" x14ac:dyDescent="0.25">
      <c r="A20" s="273"/>
      <c r="B20" s="220"/>
      <c r="C20" s="220"/>
      <c r="D20" s="220"/>
      <c r="E20" s="220"/>
      <c r="F20" s="220"/>
      <c r="G20" s="220"/>
      <c r="H20" s="220"/>
      <c r="I20" s="214"/>
      <c r="J20" s="214"/>
      <c r="K20" s="214"/>
      <c r="N20" s="485"/>
      <c r="O20" s="485"/>
      <c r="P20" s="485"/>
      <c r="Q20" s="486"/>
      <c r="R20" s="484"/>
    </row>
    <row r="21" spans="1:18" ht="23.25" customHeight="1" x14ac:dyDescent="0.25">
      <c r="A21" s="273"/>
      <c r="B21" s="487" t="s">
        <v>351</v>
      </c>
      <c r="C21" s="488"/>
      <c r="D21" s="488"/>
      <c r="E21" s="488"/>
      <c r="F21" s="488"/>
      <c r="G21" s="488"/>
      <c r="H21" s="488"/>
      <c r="I21" s="488"/>
      <c r="J21" s="488"/>
      <c r="K21" s="488"/>
      <c r="L21" s="488"/>
      <c r="M21" s="488"/>
      <c r="N21" s="488"/>
      <c r="O21" s="488"/>
      <c r="P21" s="488"/>
      <c r="Q21" s="489"/>
      <c r="R21" s="418">
        <f>helper_FLEXIBILISIERUNG!$B$8</f>
        <v>0</v>
      </c>
    </row>
    <row r="22" spans="1:18" ht="153" customHeight="1" x14ac:dyDescent="0.25">
      <c r="A22" s="274"/>
      <c r="B22" s="475"/>
      <c r="C22" s="476"/>
      <c r="D22" s="476"/>
      <c r="E22" s="476"/>
      <c r="F22" s="476"/>
      <c r="G22" s="476"/>
      <c r="H22" s="476"/>
      <c r="I22" s="476"/>
      <c r="J22" s="476"/>
      <c r="K22" s="476"/>
      <c r="L22" s="476"/>
      <c r="M22" s="476"/>
      <c r="N22" s="476"/>
      <c r="O22" s="476"/>
      <c r="P22" s="476"/>
      <c r="Q22" s="477"/>
      <c r="R22" s="418"/>
    </row>
    <row r="23" spans="1:18" ht="11.25" customHeight="1" x14ac:dyDescent="0.25">
      <c r="A23" s="311"/>
      <c r="B23" s="311"/>
      <c r="C23" s="311"/>
      <c r="D23" s="311"/>
      <c r="E23" s="311"/>
      <c r="F23" s="311"/>
      <c r="G23" s="311"/>
      <c r="H23" s="311"/>
      <c r="I23" s="311"/>
      <c r="J23" s="311"/>
      <c r="K23" s="311"/>
      <c r="L23" s="311"/>
      <c r="M23" s="311"/>
      <c r="N23" s="311"/>
      <c r="O23" s="311"/>
      <c r="P23" s="311"/>
      <c r="Q23" s="311"/>
      <c r="R23" s="6"/>
    </row>
    <row r="24" spans="1:18" ht="15" customHeight="1" x14ac:dyDescent="0.25">
      <c r="A24" s="272" t="s">
        <v>259</v>
      </c>
      <c r="B24" s="337" t="s">
        <v>160</v>
      </c>
      <c r="C24" s="337"/>
      <c r="D24" s="337"/>
      <c r="E24" s="337"/>
      <c r="F24" s="337"/>
      <c r="G24" s="337"/>
      <c r="H24" s="337"/>
      <c r="I24" s="337"/>
      <c r="J24" s="337"/>
      <c r="K24" s="337"/>
      <c r="L24" s="337"/>
      <c r="M24" s="337"/>
      <c r="N24" s="337"/>
      <c r="O24" s="337"/>
      <c r="P24" s="337"/>
      <c r="Q24" s="440"/>
      <c r="R24" s="6"/>
    </row>
    <row r="25" spans="1:18" ht="135" customHeight="1" x14ac:dyDescent="0.25">
      <c r="A25" s="274"/>
      <c r="B25" s="76" t="s">
        <v>11</v>
      </c>
      <c r="C25" s="338"/>
      <c r="D25" s="339"/>
      <c r="E25" s="339"/>
      <c r="F25" s="339"/>
      <c r="G25" s="339"/>
      <c r="H25" s="339"/>
      <c r="I25" s="339"/>
      <c r="J25" s="339"/>
      <c r="K25" s="339"/>
      <c r="L25" s="339"/>
      <c r="M25" s="339"/>
      <c r="N25" s="339"/>
      <c r="O25" s="339"/>
      <c r="P25" s="339"/>
      <c r="Q25" s="340"/>
      <c r="R25" s="6"/>
    </row>
    <row r="26" spans="1:18" ht="26.25" customHeight="1" x14ac:dyDescent="0.25">
      <c r="A26" s="6"/>
      <c r="B26" s="6"/>
      <c r="C26" s="6"/>
      <c r="D26" s="6"/>
      <c r="E26" s="6"/>
      <c r="F26" s="6"/>
      <c r="G26" s="6"/>
      <c r="H26" s="6"/>
      <c r="I26" s="6"/>
      <c r="J26" s="6"/>
      <c r="K26" s="6"/>
      <c r="L26" s="6"/>
      <c r="M26" s="6"/>
      <c r="N26" s="6"/>
      <c r="O26" s="6"/>
      <c r="P26" s="6"/>
      <c r="Q26" s="6"/>
      <c r="R26" s="6"/>
    </row>
    <row r="27" spans="1:18" ht="27" customHeight="1" x14ac:dyDescent="0.25"/>
    <row r="28" spans="1:18" ht="26.25" customHeight="1" x14ac:dyDescent="0.25"/>
    <row r="29" spans="1:18" ht="26.25" customHeight="1" x14ac:dyDescent="0.25"/>
    <row r="30" spans="1:18" ht="25.5" customHeight="1" x14ac:dyDescent="0.25"/>
    <row r="31" spans="1:18" ht="25.5" customHeight="1" x14ac:dyDescent="0.25"/>
    <row r="32" spans="1:18" ht="25.5" customHeight="1" x14ac:dyDescent="0.25"/>
    <row r="33" ht="25.5" customHeight="1" x14ac:dyDescent="0.25"/>
    <row r="34" ht="11.25" customHeight="1" x14ac:dyDescent="0.25"/>
  </sheetData>
  <sheetProtection algorithmName="SHA-512" hashValue="RvEiecYWH62J0bB6FtTBKwYbSs9N0V6ywSFd7jDBSxx49mkOGvZ6P7zmfN0+SeBgv5UtAqeQT8xy2RXDvBNhrA==" saltValue="73QvPPhkgN2XA50OqCWGyQ==" spinCount="100000" sheet="1" objects="1" scenarios="1" selectLockedCells="1"/>
  <mergeCells count="43">
    <mergeCell ref="N20:Q20"/>
    <mergeCell ref="B21:Q21"/>
    <mergeCell ref="A23:Q23"/>
    <mergeCell ref="B14:H14"/>
    <mergeCell ref="N14:Q14"/>
    <mergeCell ref="I16:K16"/>
    <mergeCell ref="N17:Q17"/>
    <mergeCell ref="N15:Q15"/>
    <mergeCell ref="B15:H16"/>
    <mergeCell ref="B17:H18"/>
    <mergeCell ref="B19:H20"/>
    <mergeCell ref="R15:R16"/>
    <mergeCell ref="R17:R18"/>
    <mergeCell ref="I18:K18"/>
    <mergeCell ref="R19:R20"/>
    <mergeCell ref="A1:R1"/>
    <mergeCell ref="K7:Q7"/>
    <mergeCell ref="A14:A22"/>
    <mergeCell ref="B22:Q22"/>
    <mergeCell ref="R21:R22"/>
    <mergeCell ref="A2:Q2"/>
    <mergeCell ref="H3:H12"/>
    <mergeCell ref="I3:I12"/>
    <mergeCell ref="K3:Q3"/>
    <mergeCell ref="K4:Q4"/>
    <mergeCell ref="K5:Q5"/>
    <mergeCell ref="A3:G12"/>
    <mergeCell ref="C25:Q25"/>
    <mergeCell ref="B24:Q24"/>
    <mergeCell ref="K6:Q6"/>
    <mergeCell ref="K8:Q8"/>
    <mergeCell ref="K10:Q10"/>
    <mergeCell ref="K12:Q12"/>
    <mergeCell ref="K9:Q9"/>
    <mergeCell ref="K11:Q11"/>
    <mergeCell ref="A13:Q13"/>
    <mergeCell ref="I20:K20"/>
    <mergeCell ref="N19:Q19"/>
    <mergeCell ref="A24:A25"/>
    <mergeCell ref="I14:J14"/>
    <mergeCell ref="L14:M14"/>
    <mergeCell ref="N16:Q16"/>
    <mergeCell ref="N18:Q18"/>
  </mergeCells>
  <printOptions horizontalCentered="1"/>
  <pageMargins left="0.70866141732283472" right="0.70866141732283472" top="0.74803149606299213" bottom="0.74803149606299213" header="0.31496062992125984" footer="0.31496062992125984"/>
  <pageSetup paperSize="9" scale="86" fitToHeight="0" orientation="portrait" verticalDpi="0" r:id="rId1"/>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05" r:id="rId4" name="Option Button 17">
              <controlPr defaultSize="0" autoFill="0" autoLine="0" autoPict="0">
                <anchor moveWithCells="1">
                  <from>
                    <xdr:col>8</xdr:col>
                    <xdr:colOff>161925</xdr:colOff>
                    <xdr:row>17</xdr:row>
                    <xdr:rowOff>0</xdr:rowOff>
                  </from>
                  <to>
                    <xdr:col>9</xdr:col>
                    <xdr:colOff>123825</xdr:colOff>
                    <xdr:row>17</xdr:row>
                    <xdr:rowOff>219075</xdr:rowOff>
                  </to>
                </anchor>
              </controlPr>
            </control>
          </mc:Choice>
        </mc:AlternateContent>
        <mc:AlternateContent xmlns:mc="http://schemas.openxmlformats.org/markup-compatibility/2006">
          <mc:Choice Requires="x14">
            <control shapeId="12306" r:id="rId5" name="Option Button 18">
              <controlPr defaultSize="0" autoFill="0" autoLine="0" autoPict="0">
                <anchor moveWithCells="1">
                  <from>
                    <xdr:col>10</xdr:col>
                    <xdr:colOff>104775</xdr:colOff>
                    <xdr:row>17</xdr:row>
                    <xdr:rowOff>0</xdr:rowOff>
                  </from>
                  <to>
                    <xdr:col>10</xdr:col>
                    <xdr:colOff>409575</xdr:colOff>
                    <xdr:row>17</xdr:row>
                    <xdr:rowOff>219075</xdr:rowOff>
                  </to>
                </anchor>
              </controlPr>
            </control>
          </mc:Choice>
        </mc:AlternateContent>
        <mc:AlternateContent xmlns:mc="http://schemas.openxmlformats.org/markup-compatibility/2006">
          <mc:Choice Requires="x14">
            <control shapeId="12307" r:id="rId6" name="Option Button 19">
              <controlPr defaultSize="0" autoFill="0" autoLine="0" autoPict="0">
                <anchor moveWithCells="1">
                  <from>
                    <xdr:col>11</xdr:col>
                    <xdr:colOff>219075</xdr:colOff>
                    <xdr:row>17</xdr:row>
                    <xdr:rowOff>0</xdr:rowOff>
                  </from>
                  <to>
                    <xdr:col>12</xdr:col>
                    <xdr:colOff>190500</xdr:colOff>
                    <xdr:row>17</xdr:row>
                    <xdr:rowOff>219075</xdr:rowOff>
                  </to>
                </anchor>
              </controlPr>
            </control>
          </mc:Choice>
        </mc:AlternateContent>
        <mc:AlternateContent xmlns:mc="http://schemas.openxmlformats.org/markup-compatibility/2006">
          <mc:Choice Requires="x14">
            <control shapeId="12308" r:id="rId7" name="Option Button 20">
              <controlPr defaultSize="0" autoFill="0" autoLine="0" autoPict="0">
                <anchor moveWithCells="1">
                  <from>
                    <xdr:col>8</xdr:col>
                    <xdr:colOff>161925</xdr:colOff>
                    <xdr:row>19</xdr:row>
                    <xdr:rowOff>28575</xdr:rowOff>
                  </from>
                  <to>
                    <xdr:col>9</xdr:col>
                    <xdr:colOff>123825</xdr:colOff>
                    <xdr:row>19</xdr:row>
                    <xdr:rowOff>238125</xdr:rowOff>
                  </to>
                </anchor>
              </controlPr>
            </control>
          </mc:Choice>
        </mc:AlternateContent>
        <mc:AlternateContent xmlns:mc="http://schemas.openxmlformats.org/markup-compatibility/2006">
          <mc:Choice Requires="x14">
            <control shapeId="12309" r:id="rId8" name="Option Button 21">
              <controlPr defaultSize="0" autoFill="0" autoLine="0" autoPict="0">
                <anchor moveWithCells="1">
                  <from>
                    <xdr:col>10</xdr:col>
                    <xdr:colOff>104775</xdr:colOff>
                    <xdr:row>19</xdr:row>
                    <xdr:rowOff>28575</xdr:rowOff>
                  </from>
                  <to>
                    <xdr:col>10</xdr:col>
                    <xdr:colOff>409575</xdr:colOff>
                    <xdr:row>19</xdr:row>
                    <xdr:rowOff>238125</xdr:rowOff>
                  </to>
                </anchor>
              </controlPr>
            </control>
          </mc:Choice>
        </mc:AlternateContent>
        <mc:AlternateContent xmlns:mc="http://schemas.openxmlformats.org/markup-compatibility/2006">
          <mc:Choice Requires="x14">
            <control shapeId="12310" r:id="rId9" name="Option Button 22">
              <controlPr defaultSize="0" autoFill="0" autoLine="0" autoPict="0">
                <anchor moveWithCells="1">
                  <from>
                    <xdr:col>11</xdr:col>
                    <xdr:colOff>219075</xdr:colOff>
                    <xdr:row>19</xdr:row>
                    <xdr:rowOff>28575</xdr:rowOff>
                  </from>
                  <to>
                    <xdr:col>12</xdr:col>
                    <xdr:colOff>190500</xdr:colOff>
                    <xdr:row>19</xdr:row>
                    <xdr:rowOff>238125</xdr:rowOff>
                  </to>
                </anchor>
              </controlPr>
            </control>
          </mc:Choice>
        </mc:AlternateContent>
        <mc:AlternateContent xmlns:mc="http://schemas.openxmlformats.org/markup-compatibility/2006">
          <mc:Choice Requires="x14">
            <control shapeId="12312" r:id="rId10" name="Group Box 24">
              <controlPr defaultSize="0" autoFill="0" autoPict="0">
                <anchor moveWithCells="1">
                  <from>
                    <xdr:col>8</xdr:col>
                    <xdr:colOff>0</xdr:colOff>
                    <xdr:row>16</xdr:row>
                    <xdr:rowOff>0</xdr:rowOff>
                  </from>
                  <to>
                    <xdr:col>13</xdr:col>
                    <xdr:colOff>0</xdr:colOff>
                    <xdr:row>18</xdr:row>
                    <xdr:rowOff>0</xdr:rowOff>
                  </to>
                </anchor>
              </controlPr>
            </control>
          </mc:Choice>
        </mc:AlternateContent>
        <mc:AlternateContent xmlns:mc="http://schemas.openxmlformats.org/markup-compatibility/2006">
          <mc:Choice Requires="x14">
            <control shapeId="12313" r:id="rId11" name="Group Box 25">
              <controlPr defaultSize="0" autoFill="0" autoPict="0">
                <anchor moveWithCells="1">
                  <from>
                    <xdr:col>8</xdr:col>
                    <xdr:colOff>0</xdr:colOff>
                    <xdr:row>18</xdr:row>
                    <xdr:rowOff>0</xdr:rowOff>
                  </from>
                  <to>
                    <xdr:col>13</xdr:col>
                    <xdr:colOff>0</xdr:colOff>
                    <xdr:row>20</xdr:row>
                    <xdr:rowOff>0</xdr:rowOff>
                  </to>
                </anchor>
              </controlPr>
            </control>
          </mc:Choice>
        </mc:AlternateContent>
        <mc:AlternateContent xmlns:mc="http://schemas.openxmlformats.org/markup-compatibility/2006">
          <mc:Choice Requires="x14">
            <control shapeId="7" r:id="rId12" name="Option Button 14">
              <controlPr defaultSize="0" autoFill="0" autoLine="0" autoPict="0">
                <anchor moveWithCells="1" sizeWithCells="1">
                  <from>
                    <xdr:col>8</xdr:col>
                    <xdr:colOff>161925</xdr:colOff>
                    <xdr:row>14</xdr:row>
                    <xdr:rowOff>171450</xdr:rowOff>
                  </from>
                  <to>
                    <xdr:col>9</xdr:col>
                    <xdr:colOff>123825</xdr:colOff>
                    <xdr:row>15</xdr:row>
                    <xdr:rowOff>200025</xdr:rowOff>
                  </to>
                </anchor>
              </controlPr>
            </control>
          </mc:Choice>
        </mc:AlternateContent>
        <mc:AlternateContent xmlns:mc="http://schemas.openxmlformats.org/markup-compatibility/2006">
          <mc:Choice Requires="x14">
            <control shapeId="8" r:id="rId13" name="Option Button 15">
              <controlPr defaultSize="0" autoFill="0" autoLine="0" autoPict="0">
                <anchor moveWithCells="1" sizeWithCells="1">
                  <from>
                    <xdr:col>10</xdr:col>
                    <xdr:colOff>95250</xdr:colOff>
                    <xdr:row>14</xdr:row>
                    <xdr:rowOff>171450</xdr:rowOff>
                  </from>
                  <to>
                    <xdr:col>10</xdr:col>
                    <xdr:colOff>400050</xdr:colOff>
                    <xdr:row>15</xdr:row>
                    <xdr:rowOff>200025</xdr:rowOff>
                  </to>
                </anchor>
              </controlPr>
            </control>
          </mc:Choice>
        </mc:AlternateContent>
        <mc:AlternateContent xmlns:mc="http://schemas.openxmlformats.org/markup-compatibility/2006">
          <mc:Choice Requires="x14">
            <control shapeId="9" r:id="rId14" name="Option Button 16">
              <controlPr defaultSize="0" autoFill="0" autoLine="0" autoPict="0">
                <anchor moveWithCells="1" sizeWithCells="1">
                  <from>
                    <xdr:col>11</xdr:col>
                    <xdr:colOff>219075</xdr:colOff>
                    <xdr:row>14</xdr:row>
                    <xdr:rowOff>171450</xdr:rowOff>
                  </from>
                  <to>
                    <xdr:col>12</xdr:col>
                    <xdr:colOff>190500</xdr:colOff>
                    <xdr:row>15</xdr:row>
                    <xdr:rowOff>200025</xdr:rowOff>
                  </to>
                </anchor>
              </controlPr>
            </control>
          </mc:Choice>
        </mc:AlternateContent>
        <mc:AlternateContent xmlns:mc="http://schemas.openxmlformats.org/markup-compatibility/2006">
          <mc:Choice Requires="x14">
            <control shapeId="12" r:id="rId15" name="Group Box 23">
              <controlPr defaultSize="0" autoFill="0" autoPict="0">
                <anchor moveWithCells="1" sizeWithCells="1">
                  <from>
                    <xdr:col>8</xdr:col>
                    <xdr:colOff>0</xdr:colOff>
                    <xdr:row>14</xdr:row>
                    <xdr:rowOff>0</xdr:rowOff>
                  </from>
                  <to>
                    <xdr:col>13</xdr:col>
                    <xdr:colOff>0</xdr:colOff>
                    <xdr:row>16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2" id="{81F5C36D-181A-4C46-84DF-2CB8AF5B86BB}">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R15 R17 R19 R21 R3</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34665-AEDF-4421-9408-DEA849C98A6D}">
  <sheetPr codeName="TAB51"/>
  <dimension ref="A1:E10"/>
  <sheetViews>
    <sheetView workbookViewId="0">
      <selection activeCell="C32" sqref="C32"/>
    </sheetView>
  </sheetViews>
  <sheetFormatPr defaultColWidth="11.42578125" defaultRowHeight="15" x14ac:dyDescent="0.25"/>
  <cols>
    <col min="1" max="1" width="49.7109375" style="118" bestFit="1" customWidth="1"/>
    <col min="2" max="2" width="52.85546875" style="118" bestFit="1" customWidth="1"/>
    <col min="3" max="3" width="13.28515625" style="118" bestFit="1" customWidth="1"/>
    <col min="4" max="16384" width="11.42578125" style="118"/>
  </cols>
  <sheetData>
    <row r="1" spans="1:5" x14ac:dyDescent="0.25">
      <c r="A1" s="119" t="s">
        <v>195</v>
      </c>
      <c r="B1" s="121" t="s">
        <v>197</v>
      </c>
    </row>
    <row r="2" spans="1:5" x14ac:dyDescent="0.25">
      <c r="A2" s="118" t="s">
        <v>204</v>
      </c>
      <c r="B2" s="120">
        <f>IF(OR(ISBLANK(FLEXIBILISIERUNG!$K$3),ISBLANK(FLEXIBILISIERUNG!$K$5),ISBLANK(FLEXIBILISIERUNG!$K$7),ISBLANK(FLEXIBILISIERUNG!$K$9)),0,1)</f>
        <v>0</v>
      </c>
    </row>
    <row r="4" spans="1:5" x14ac:dyDescent="0.25">
      <c r="A4" s="119" t="s">
        <v>60</v>
      </c>
      <c r="B4" s="121" t="s">
        <v>197</v>
      </c>
      <c r="C4" s="121" t="s">
        <v>217</v>
      </c>
    </row>
    <row r="5" spans="1:5" x14ac:dyDescent="0.25">
      <c r="A5" s="118" t="s">
        <v>236</v>
      </c>
      <c r="B5" s="120">
        <f>IF(helper_FLEXIBILISIERUNG!$C5=0,0,IF(AND(helper_FLEXIBILISIERUNG!$C5=2,NOT(ISBLANK(FLEXIBILISIERUNG!$N$16))),0,IF(AND(helper_FLEXIBILISIERUNG!$C5=2,ISBLANK(FLEXIBILISIERUNG!$N$16)),1,IF(AND(OR(helper_FLEXIBILISIERUNG!$C5=1,helper_FLEXIBILISIERUNG!$C5=3),ISBLANK(FLEXIBILISIERUNG!$N$16)),0,IF(AND(OR(helper_FLEXIBILISIERUNG!$C5=1,helper_FLEXIBILISIERUNG!$C5=3),NOT(ISBLANK(FLEXIBILISIERUNG!$N$16))),1)))))</f>
        <v>0</v>
      </c>
      <c r="C5" s="120">
        <v>0</v>
      </c>
      <c r="D5" s="118" t="b">
        <f>NOT(ISBLANK(FLEXIBILISIERUNG!$N$16))</f>
        <v>0</v>
      </c>
      <c r="E5" s="118" t="s">
        <v>240</v>
      </c>
    </row>
    <row r="6" spans="1:5" x14ac:dyDescent="0.25">
      <c r="A6" s="118" t="s">
        <v>237</v>
      </c>
      <c r="B6" s="120">
        <f>IF(helper_FLEXIBILISIERUNG!$C6=0,0,IF(AND(helper_FLEXIBILISIERUNG!$C6=2,NOT(ISBLANK(FLEXIBILISIERUNG!$N$18))),0,IF(AND(helper_FLEXIBILISIERUNG!$C6=2,ISBLANK(FLEXIBILISIERUNG!$N$18)),1,IF(AND(OR(helper_FLEXIBILISIERUNG!$C6=1,helper_FLEXIBILISIERUNG!$C6=3),ISBLANK(FLEXIBILISIERUNG!$N$18)),0,IF(AND(OR(helper_FLEXIBILISIERUNG!$C6=1,helper_FLEXIBILISIERUNG!$C6=3),NOT(ISBLANK(FLEXIBILISIERUNG!$N$18))),1)))))</f>
        <v>0</v>
      </c>
      <c r="C6" s="120">
        <v>0</v>
      </c>
      <c r="D6" s="118" t="b">
        <f>NOT(ISBLANK(FLEXIBILISIERUNG!$N$18))</f>
        <v>0</v>
      </c>
    </row>
    <row r="7" spans="1:5" x14ac:dyDescent="0.25">
      <c r="A7" s="118" t="s">
        <v>238</v>
      </c>
      <c r="B7" s="120">
        <f>IF(helper_FLEXIBILISIERUNG!$C7=0,0,IF(AND(helper_FLEXIBILISIERUNG!$C7=2,NOT(ISBLANK(FLEXIBILISIERUNG!$N$20))),0,IF(AND(helper_FLEXIBILISIERUNG!$C7=2,ISBLANK(FLEXIBILISIERUNG!$N$20)),1,IF(AND(OR(helper_FLEXIBILISIERUNG!$C7=1,helper_FLEXIBILISIERUNG!$C7=3),ISBLANK(FLEXIBILISIERUNG!$N$20)),0,IF(AND(OR(helper_FLEXIBILISIERUNG!$C7=1,helper_FLEXIBILISIERUNG!$C7=3),NOT(ISBLANK(FLEXIBILISIERUNG!$N$20))),1)))))</f>
        <v>0</v>
      </c>
      <c r="C7" s="120">
        <v>0</v>
      </c>
      <c r="D7" s="118" t="b">
        <f>NOT(ISBLANK(FLEXIBILISIERUNG!$N$20))</f>
        <v>0</v>
      </c>
    </row>
    <row r="8" spans="1:5" x14ac:dyDescent="0.25">
      <c r="A8" s="118" t="s">
        <v>239</v>
      </c>
      <c r="B8" s="120">
        <f>IF(ISBLANK(FLEXIBILISIERUNG!$B$22),0,1)</f>
        <v>0</v>
      </c>
    </row>
    <row r="10" spans="1:5" x14ac:dyDescent="0.25">
      <c r="A10" s="118" t="s">
        <v>283</v>
      </c>
      <c r="B10" s="118" cm="1">
        <f t="array" ref="B10">IF(OR($B$2=0,$B$5:$B$8=0),0,1)</f>
        <v>0</v>
      </c>
    </row>
  </sheetData>
  <sheetProtection algorithmName="SHA-512" hashValue="gIAAIZ6ADXb810v1MSOF2vbcU1vj+5uisfyexffP/cGpr0Svrm/ZJ1DKV2+Ceu9hdRiLiVYYAi9rdAigs4Cjsw==" saltValue="kEceDLFghilMgmtrJ8kPkQ==" spinCount="100000" sheet="1" objects="1" scenarios="1" selectLockedCells="1" selectUn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46C0-1316-49C5-8506-ED2D97827166}">
  <sheetPr codeName="TAB60">
    <tabColor rgb="FF6C1C5B"/>
    <pageSetUpPr fitToPage="1"/>
  </sheetPr>
  <dimension ref="A1:V145"/>
  <sheetViews>
    <sheetView showGridLines="0" topLeftCell="A17" zoomScaleNormal="100" workbookViewId="0">
      <selection activeCell="L17" sqref="L17"/>
      <extLst>
        <ext xmlns:xlsdti="http://schemas.microsoft.com/office/spreadsheetml/2023/showDataTypeIcons" uri="{77bfe23e-c014-4d31-8a63-9c772dbf06b6}">
          <xlsdti:showDataTypeIcons visible="0"/>
        </ext>
      </extLst>
    </sheetView>
  </sheetViews>
  <sheetFormatPr defaultColWidth="11.42578125" defaultRowHeight="15" x14ac:dyDescent="0.25"/>
  <cols>
    <col min="1" max="12" width="12.7109375" customWidth="1"/>
  </cols>
  <sheetData>
    <row r="1" spans="1:12" x14ac:dyDescent="0.25">
      <c r="A1" s="160" t="s">
        <v>256</v>
      </c>
      <c r="B1" s="161"/>
      <c r="C1" s="161"/>
      <c r="D1" s="161"/>
      <c r="E1" s="161"/>
      <c r="F1" s="161"/>
      <c r="G1" s="161"/>
      <c r="H1" s="161"/>
      <c r="I1" s="161"/>
      <c r="J1" s="161"/>
      <c r="K1" s="161"/>
      <c r="L1" s="162"/>
    </row>
    <row r="2" spans="1:12" x14ac:dyDescent="0.25">
      <c r="A2" s="163" t="s">
        <v>362</v>
      </c>
      <c r="B2" s="90"/>
      <c r="C2" s="90"/>
      <c r="D2" s="90"/>
      <c r="E2" s="91"/>
      <c r="F2" s="91"/>
      <c r="G2" s="91"/>
      <c r="H2" s="91"/>
      <c r="I2" s="91"/>
      <c r="J2" s="91"/>
      <c r="K2" s="91"/>
      <c r="L2" s="164"/>
    </row>
    <row r="3" spans="1:12" x14ac:dyDescent="0.25">
      <c r="A3" s="165"/>
      <c r="B3" s="531" t="str">
        <f>IF(ISBLANK(UNTERNEHMUNG!$C$3),"",UNTERNEHMUNG!$C$3)</f>
        <v/>
      </c>
      <c r="C3" s="531"/>
      <c r="D3" s="531"/>
      <c r="E3" s="531"/>
      <c r="F3" s="6"/>
      <c r="G3" s="532" t="str">
        <f>IF(ISBLANK(UNTERNEHMUNG!$C$9),"",UNTERNEHMUNG!$C$9)</f>
        <v/>
      </c>
      <c r="H3" s="532"/>
      <c r="I3" s="532"/>
      <c r="J3" s="532"/>
      <c r="K3" s="533" t="str">
        <f>IF(AND(UNTERNEHMUNG_FILLED,ENERGIETECHNIK_FILLED,PROZESSTECHNIK_FILLED,DIGITALISIERUNG_FILLED,FLEXIBILISIERUNG_FILLED),helper_ERGEBNISSE!$E$127,"-")</f>
        <v>-</v>
      </c>
      <c r="L3" s="534"/>
    </row>
    <row r="4" spans="1:12" x14ac:dyDescent="0.25">
      <c r="A4" s="165"/>
      <c r="B4" s="532" t="str">
        <f>_xlfn.TEXTJOIN(", ",TRUE,UNTERNEHMUNG!$C$5,UNTERNEHMUNG!$C$7)</f>
        <v/>
      </c>
      <c r="C4" s="532"/>
      <c r="D4" s="532"/>
      <c r="E4" s="532"/>
      <c r="F4" s="532"/>
      <c r="G4" s="532"/>
      <c r="H4" s="532"/>
      <c r="I4" s="532"/>
      <c r="J4" s="532"/>
      <c r="K4" s="533"/>
      <c r="L4" s="534"/>
    </row>
    <row r="5" spans="1:12" x14ac:dyDescent="0.25">
      <c r="A5" s="163" t="s">
        <v>29</v>
      </c>
      <c r="B5" s="90"/>
      <c r="C5" s="91"/>
      <c r="D5" s="91"/>
      <c r="E5" s="91"/>
      <c r="F5" s="91"/>
      <c r="G5" s="91"/>
      <c r="H5" s="91"/>
      <c r="I5" s="91"/>
      <c r="J5" s="91"/>
      <c r="K5" s="91"/>
      <c r="L5" s="166">
        <f>UNTERNEHMUNG_FILLED</f>
        <v>0</v>
      </c>
    </row>
    <row r="6" spans="1:12" x14ac:dyDescent="0.25">
      <c r="A6" s="167" t="s">
        <v>2</v>
      </c>
      <c r="B6" s="183"/>
      <c r="C6" s="183"/>
      <c r="D6" s="183"/>
      <c r="E6" s="183"/>
      <c r="F6" s="6"/>
      <c r="G6" s="6"/>
      <c r="H6" s="6"/>
      <c r="I6" s="6"/>
      <c r="J6" s="6"/>
      <c r="K6" s="6"/>
      <c r="L6" s="168"/>
    </row>
    <row r="7" spans="1:12" x14ac:dyDescent="0.25">
      <c r="A7" s="169"/>
      <c r="B7" s="496" t="str">
        <f>IF(ISBLANK(UNTERNEHMUNG!$K$3),"",UNTERNEHMUNG!$K$3)</f>
        <v/>
      </c>
      <c r="C7" s="496"/>
      <c r="D7" s="496"/>
      <c r="E7" s="496"/>
      <c r="G7" s="495" t="str">
        <f>IF(ISBLANK(UNTERNEHMUNG!$K$7),"",UNTERNEHMUNG!$K$7)</f>
        <v/>
      </c>
      <c r="H7" s="495"/>
      <c r="I7" s="495"/>
      <c r="J7" s="495"/>
      <c r="L7" s="170"/>
    </row>
    <row r="8" spans="1:12" x14ac:dyDescent="0.25">
      <c r="A8" s="169"/>
      <c r="B8" s="496" t="str">
        <f>IF(ISBLANK(UNTERNEHMUNG!$K$9),"",UNTERNEHMUNG!$K$9)</f>
        <v/>
      </c>
      <c r="C8" s="496"/>
      <c r="D8" s="496"/>
      <c r="E8" s="496"/>
      <c r="F8" s="184"/>
      <c r="G8" s="495" t="str">
        <f>IF(ISBLANK(UNTERNEHMUNG!$K$5),"",UNTERNEHMUNG!$K$5)</f>
        <v/>
      </c>
      <c r="H8" s="495"/>
      <c r="I8" s="495"/>
      <c r="J8" s="495"/>
      <c r="L8" s="170"/>
    </row>
    <row r="9" spans="1:12" x14ac:dyDescent="0.25">
      <c r="A9" s="167" t="s">
        <v>1</v>
      </c>
      <c r="B9" s="89"/>
      <c r="C9" s="6"/>
      <c r="D9" s="6"/>
      <c r="E9" s="6"/>
      <c r="F9" s="6"/>
      <c r="G9" s="6"/>
      <c r="H9" s="6"/>
      <c r="I9" s="6"/>
      <c r="J9" s="6"/>
      <c r="K9" s="6"/>
      <c r="L9" s="171"/>
    </row>
    <row r="10" spans="1:12" x14ac:dyDescent="0.25">
      <c r="A10" s="535" t="s">
        <v>353</v>
      </c>
      <c r="B10" s="536"/>
      <c r="C10" s="536"/>
      <c r="D10" s="494" t="s">
        <v>354</v>
      </c>
      <c r="E10" s="494"/>
      <c r="F10" s="494"/>
      <c r="G10" s="516" t="s">
        <v>355</v>
      </c>
      <c r="H10" s="516"/>
      <c r="I10" s="516"/>
      <c r="J10" s="494" t="s">
        <v>359</v>
      </c>
      <c r="K10" s="494"/>
      <c r="L10" s="511"/>
    </row>
    <row r="11" spans="1:12" x14ac:dyDescent="0.25">
      <c r="A11" s="523"/>
      <c r="B11" s="524"/>
      <c r="C11" s="524"/>
      <c r="D11" s="491" t="str" cm="1">
        <f t="array" ref="D11">_xlfn.IFS(NOT(UNTERNEHMUNG_FILLED),helper_ERGEBNISSE!$A4,helper_ERGEBNISSE!$G4=0,helper_ERGEBNISSE!$A4&amp;" sind nicht geplant",UNTERNEHMUNG_FILLED,"")</f>
        <v>Produktionstechnische Neuerungen</v>
      </c>
      <c r="E11" s="491"/>
      <c r="F11" s="491"/>
      <c r="G11" s="501" t="str">
        <f>IF(AND(UNTERNEHMUNG_FILLED,helper_ERGEBNISSE!$G4&gt;0),helper_ERGEBNISSE!$A4&amp;" sind geplant","")</f>
        <v/>
      </c>
      <c r="H11" s="501"/>
      <c r="I11" s="501"/>
      <c r="J11" s="491" t="str">
        <f>IF(AND(UNTERNEHMUNG_FILLED,helper_UNTERNEHMUNG!$D32),"Beschreibung: "&amp;UNTERNEHMUNG!$N16,"")</f>
        <v/>
      </c>
      <c r="K11" s="491"/>
      <c r="L11" s="492"/>
    </row>
    <row r="12" spans="1:12" x14ac:dyDescent="0.25">
      <c r="A12" s="523"/>
      <c r="B12" s="524"/>
      <c r="C12" s="524"/>
      <c r="D12" s="491" t="str" cm="1">
        <f t="array" ref="D12">_xlfn.IFS(NOT(UNTERNEHMUNG_FILLED),helper_ERGEBNISSE!$A5,helper_ERGEBNISSE!$G5=0,helper_ERGEBNISSE!$A5&amp;" sind nicht geplant",UNTERNEHMUNG_FILLED,"")</f>
        <v>(Weitere) erneuerbare Energieträger</v>
      </c>
      <c r="E12" s="491"/>
      <c r="F12" s="491"/>
      <c r="G12" s="501" t="str">
        <f>IF(AND(UNTERNEHMUNG_FILLED,helper_ERGEBNISSE!$G5&gt;0),helper_ERGEBNISSE!$A5&amp;" sind geplant","")</f>
        <v/>
      </c>
      <c r="H12" s="501"/>
      <c r="I12" s="501"/>
      <c r="J12" s="491" t="str">
        <f>IF(AND(UNTERNEHMUNG_FILLED,helper_UNTERNEHMUNG!$D33),"Beschreibung: "&amp;UNTERNEHMUNG!$N18,"")</f>
        <v/>
      </c>
      <c r="K12" s="491"/>
      <c r="L12" s="492"/>
    </row>
    <row r="13" spans="1:12" x14ac:dyDescent="0.25">
      <c r="A13" s="523" t="str" cm="1">
        <f t="array" ref="A13">_xlfn.IFS(NOT(UNTERNEHMUNG_FILLED),"",helper_ERGEBNISSE!$G6&lt;0,_xlfn.TEXTJOIN(" ",TRUE,helper_ERGEBNISSE!$A6,"ist",IF(helper_ERGEBNISSE!$H$6,"","nicht"),"geplant"),UNTERNEHMUNG_FILLED,"")</f>
        <v/>
      </c>
      <c r="B13" s="524"/>
      <c r="C13" s="524"/>
      <c r="D13" s="491" t="str" cm="1">
        <f t="array" ref="D13">_xlfn.IFS(NOT(UNTERNEHMUNG_FILLED),helper_ERGEBNISSE!$A6,helper_ERGEBNISSE!$G6=0,_xlfn.TEXTJOIN(" ",TRUE,helper_ERGEBNISSE!$A6,"ist",IF(helper_ERGEBNISSE!$H$6,"","nicht"),"geplant"),UNTERNEHMUNG_FILLED,"")</f>
        <v>Absatzsteigerung</v>
      </c>
      <c r="E13" s="491"/>
      <c r="F13" s="491"/>
      <c r="G13" s="501"/>
      <c r="H13" s="501"/>
      <c r="I13" s="501"/>
      <c r="J13" s="491"/>
      <c r="K13" s="491"/>
      <c r="L13" s="492"/>
    </row>
    <row r="14" spans="1:12" x14ac:dyDescent="0.25">
      <c r="A14" s="523" t="str">
        <f>IF(AND(UNTERNEHMUNG_FILLED,helper_ERGEBNISSE!$G7&lt;0),helper_ERGEBNISSE!$A7,"")</f>
        <v/>
      </c>
      <c r="B14" s="524"/>
      <c r="C14" s="524"/>
      <c r="D14" s="491" t="str" cm="1">
        <f t="array" ref="D14">_xlfn.IFS(NOT(UNTERNEHMUNG_FILLED),helper_ERGEBNISSE!$A7,helper_ERGEBNISSE!$G7=0,"Keine "&amp;helper_ERGEBNISSE!$A7,UNTERNEHMUNG_FILLED,"")</f>
        <v>Teilnahme an Flexibilitätsmärkten</v>
      </c>
      <c r="E14" s="491"/>
      <c r="F14" s="491"/>
      <c r="G14" s="501" t="str" cm="1">
        <f t="array" ref="G14">_xlfn.IFS(NOT(UNTERNEHMUNG_FILLED),"",helper_ERGEBNISSE!$G7&gt;0,_xlfn.TEXTJOIN(" ",TRUE,IF(helper_ERGEBNISSE!$H$7,"","Keine"),helper_ERGEBNISSE!$A7),UNTERNEHMUNG_FILLED,"")</f>
        <v/>
      </c>
      <c r="H14" s="501"/>
      <c r="I14" s="501"/>
      <c r="J14" s="491" t="str" cm="1">
        <f t="array" ref="J14">_xlfn.IFS(OR(NOT(UNTERNEHMUNG_FILLED),helper_ERGEBNISSE!$G$7=0),"",helper_UNTERNEHMUNG!$D$35,"Teilnahme ist eine mögliche Option", NOT(helper_UNTERNEHMUNG!$D$35),"Ist bereits umgesetzt")</f>
        <v/>
      </c>
      <c r="K14" s="491"/>
      <c r="L14" s="492"/>
    </row>
    <row r="15" spans="1:12" ht="30" customHeight="1" x14ac:dyDescent="0.25">
      <c r="A15" s="525" t="str">
        <f>UNTERNEHMUNG!$C$21</f>
        <v>Weitere wichtige Standort- und Umweltfaktoren 
(z.B. regionale Einschränkungen, saisonale Bedingungen etc.)</v>
      </c>
      <c r="B15" s="526"/>
      <c r="C15" s="526"/>
      <c r="D15" s="526"/>
      <c r="E15" s="526"/>
      <c r="F15" s="526"/>
      <c r="G15" s="526"/>
      <c r="H15" s="526"/>
      <c r="I15" s="526"/>
      <c r="J15" s="526"/>
      <c r="K15" s="526"/>
      <c r="L15" s="527"/>
    </row>
    <row r="16" spans="1:12" ht="33" customHeight="1" x14ac:dyDescent="0.25">
      <c r="A16" s="528" t="str">
        <f>IF(helper_ERGEBNISSE!$C$8,UNTERNEHMUNG!$C$22,"Keine")</f>
        <v>Keine</v>
      </c>
      <c r="B16" s="529"/>
      <c r="C16" s="529"/>
      <c r="D16" s="529"/>
      <c r="E16" s="529"/>
      <c r="F16" s="529"/>
      <c r="G16" s="529"/>
      <c r="H16" s="529"/>
      <c r="I16" s="529"/>
      <c r="J16" s="529"/>
      <c r="K16" s="529"/>
      <c r="L16" s="530"/>
    </row>
    <row r="17" spans="1:12" ht="15" customHeight="1" x14ac:dyDescent="0.25">
      <c r="A17" s="505" t="s">
        <v>363</v>
      </c>
      <c r="B17" s="506"/>
      <c r="C17" s="506"/>
      <c r="D17" s="506"/>
      <c r="E17" s="506"/>
      <c r="F17" s="506"/>
      <c r="G17" s="506"/>
      <c r="H17" s="506"/>
      <c r="I17" s="506"/>
      <c r="J17" s="506"/>
      <c r="K17" s="506"/>
      <c r="L17" s="146"/>
    </row>
    <row r="18" spans="1:12" x14ac:dyDescent="0.25">
      <c r="A18" s="167" t="s">
        <v>115</v>
      </c>
      <c r="B18" s="89"/>
      <c r="C18" s="6"/>
      <c r="D18" s="6"/>
      <c r="E18" s="6"/>
      <c r="F18" s="6"/>
      <c r="G18" s="6"/>
      <c r="H18" s="6"/>
      <c r="I18" s="6"/>
      <c r="J18" s="6"/>
      <c r="K18" s="6"/>
      <c r="L18" s="171"/>
    </row>
    <row r="19" spans="1:12" x14ac:dyDescent="0.25">
      <c r="A19" s="493" t="s">
        <v>287</v>
      </c>
      <c r="B19" s="494"/>
      <c r="C19" s="494"/>
      <c r="D19" s="494" t="s">
        <v>361</v>
      </c>
      <c r="E19" s="494"/>
      <c r="F19" s="494"/>
      <c r="G19" s="494"/>
      <c r="H19" s="494"/>
      <c r="I19" s="494"/>
      <c r="J19" s="494"/>
      <c r="K19" s="494"/>
      <c r="L19" s="511"/>
    </row>
    <row r="20" spans="1:12" x14ac:dyDescent="0.25">
      <c r="A20" s="497" t="str">
        <f>helper_ERGEBNISSE!$A$10</f>
        <v>Produktvariabilität</v>
      </c>
      <c r="B20" s="498"/>
      <c r="C20" s="498"/>
      <c r="D20" s="491" t="str" cm="1">
        <f t="array" ref="D20">IF(UNTERNEHMUNG_FILLED,"Die angeführte Anzahl an Produkten ("&amp;helper_ERGEBNISSE!$H$10&amp;") zeigt "&amp;_xlfn.IFS(helper_ERGEBNISSE!$G$10=helper_ERGEBNISSE!$E$10,"eine sehr hohe Variabilität und somit eine hohe Flexibilität.", helper_ERGEBNISSE!$G$10=helper_ERGEBNISSE!$D$10,"keine Veriabilität. Um die Flexibilität zu erhöhen müssen mehr Produktarten vorhanden sein.",helper_ERGEBNISSE!$G$10&lt;helper_ERGEBNISSE!$E$10,"eine gewisse Variabilität. Mehr Produktarten würden die Flexibilität weiter erhöhen."),"")</f>
        <v/>
      </c>
      <c r="E20" s="491"/>
      <c r="F20" s="491"/>
      <c r="G20" s="491"/>
      <c r="H20" s="491"/>
      <c r="I20" s="491"/>
      <c r="J20" s="491"/>
      <c r="K20" s="491"/>
      <c r="L20" s="173" t="str" cm="1">
        <f t="array" ref="L20">IF(NOT(UNTERNEHMUNG_FILLED),"",_xlfn.IFS(helper_ERGEBNISSE!$G$10=helper_ERGEBNISSE!$E$10,"Positiv", helper_ERGEBNISSE!$G$10=helper_ERGEBNISSE!$D$10,"Neutral",helper_ERGEBNISSE!$G$10&lt;helper_ERGEBNISSE!$E$10,"Eher positiv"))</f>
        <v/>
      </c>
    </row>
    <row r="21" spans="1:12" ht="15" customHeight="1" x14ac:dyDescent="0.25">
      <c r="A21" s="497" t="s">
        <v>261</v>
      </c>
      <c r="B21" s="498"/>
      <c r="C21" s="498"/>
      <c r="D21" s="491" t="str" cm="1">
        <f t="array" ref="D21">IF(UNTERNEHMUNG_FILLED,"Die aus den Angaben geschätzte Maschinenauslastung ("&amp;CEILING((1-helper_ERGEBNISSE!$H$12)*100,1)&amp;"%) ist "&amp;_xlfn.IFS(helper_ERGEBNISSE!$G$12=helper_ERGEBNISSE!$E$12,"sehr niedrig wodurch sich eine hohe Flexibilität ergibt.", helper_ERGEBNISSE!$G$12=helper_ERGEBNISSE!$D$12,"sehr hoch wodurch sich eine geringe Flexibilität ergibt.",helper_ERGEBNISSE!$G$12&lt;helper_ERGEBNISSE!$E$12,"ausgewogen wodurch sich eine mittlere Flexibilität ergibt."),"")</f>
        <v/>
      </c>
      <c r="E21" s="491"/>
      <c r="F21" s="491"/>
      <c r="G21" s="491"/>
      <c r="H21" s="491"/>
      <c r="I21" s="491"/>
      <c r="J21" s="491"/>
      <c r="K21" s="491"/>
      <c r="L21" s="173" t="str" cm="1">
        <f t="array" ref="L21">IF(NOT(UNTERNEHMUNG_FILLED),"",_xlfn.IFS(helper_ERGEBNISSE!$G$12=helper_ERGEBNISSE!$E$12,"Positiv", helper_ERGEBNISSE!$G$12=helper_ERGEBNISSE!$D$12,"Neutral",helper_ERGEBNISSE!$G$12&lt;helper_ERGEBNISSE!$E$12,"Eher positiv"))</f>
        <v/>
      </c>
    </row>
    <row r="22" spans="1:12" x14ac:dyDescent="0.25">
      <c r="A22" s="167" t="s">
        <v>170</v>
      </c>
      <c r="B22" s="89"/>
      <c r="C22" s="6"/>
      <c r="D22" s="6"/>
      <c r="E22" s="6"/>
      <c r="F22" s="6"/>
      <c r="G22" s="6"/>
      <c r="H22" s="6"/>
      <c r="I22" s="6"/>
      <c r="J22" s="6"/>
      <c r="K22" s="6"/>
      <c r="L22" s="171"/>
    </row>
    <row r="23" spans="1:12" ht="174" customHeight="1" x14ac:dyDescent="0.25">
      <c r="A23" s="169"/>
      <c r="L23" s="174"/>
    </row>
    <row r="24" spans="1:12" ht="15" customHeight="1" x14ac:dyDescent="0.25">
      <c r="A24" s="175" t="s">
        <v>361</v>
      </c>
      <c r="B24" s="517" t="str" cm="1">
        <f t="array" ref="B24">IF(UNTERNEHMUNG_FILLED,
"Die Fluktuationen in den Produktionsmengen und der vorliegende Trend "&amp;_xlfn.IFS(
$L$24="Positiv", "zeigen eine hohe Flexibilität.",
$L$24="Eher positiv", "zeigen eine gewisse Flexibilität.",
$L$24="Neutral", "zeigen geringe Flexibilität.",
$L$24="Eher negativ", "zeigen eine sehr geringe Flexibilität.",
$L$24="Negativ", "zeigen keine Flexibilität."
),"")</f>
        <v/>
      </c>
      <c r="C24" s="517"/>
      <c r="D24" s="517"/>
      <c r="E24" s="517"/>
      <c r="F24" s="517"/>
      <c r="G24" s="517"/>
      <c r="H24" s="517"/>
      <c r="I24" s="517"/>
      <c r="J24" s="517"/>
      <c r="K24" s="517"/>
      <c r="L24" s="173" t="str" cm="1">
        <f t="array" ref="L24">IF(NOT(UNTERNEHMUNG_FILLED),"",_xlfn.LET(
_xlpm.low,helper_ERGEBNISSE!$D$14,
_xlpm.high,helper_ERGEBNISSE!$E$14,
_xlpm.mid,(_xlpm.low+_xlpm.high)/2,
_xlpm.val,helper_ERGEBNISSE!$G$14,
_xlfn.IFS(_xlpm.val=_xlpm.high,"Positiv",_xlpm.val=_xlpm.low,"Negativ",_xlpm.val=_xlpm.mid,"Neutral",AND(_xlpm.val&lt;_xlpm.high,_xlpm.val&gt;_xlpm.mid),"Eher positiv",AND(_xlpm.val&lt;_xlpm.mid,_xlpm.val&gt;_xlpm.low),"Eher negativ")))</f>
        <v/>
      </c>
    </row>
    <row r="25" spans="1:12" x14ac:dyDescent="0.25">
      <c r="A25" s="167" t="s">
        <v>74</v>
      </c>
      <c r="B25" s="89"/>
      <c r="C25" s="6"/>
      <c r="D25" s="6"/>
      <c r="E25" s="6"/>
      <c r="F25" s="6"/>
      <c r="G25" s="6"/>
      <c r="H25" s="6"/>
      <c r="I25" s="6"/>
      <c r="J25" s="6"/>
      <c r="K25" s="6"/>
      <c r="L25" s="171"/>
    </row>
    <row r="26" spans="1:12" s="27" customFormat="1" ht="18.75" customHeight="1" x14ac:dyDescent="0.25">
      <c r="A26" s="176" t="s">
        <v>361</v>
      </c>
      <c r="B26" s="520" t="str" cm="1">
        <f t="array" ref="B26">IF(UNTERNEHMUNG_FILLED, _xlfn.XLOOKUP(
    helper_ERGEBNISSE!$H$16 &amp; "-" &amp; helper_ERGEBNISSE!$H$17&amp; "-" &amp; helper_ERGEBNISSE!$H$18,
    helper_ZIELSETZUNG!$A$1:$A$21 &amp; "-" &amp; helper_ZIELSETZUNG!$B$1:$B$21 &amp; "-" &amp; helper_ZIELSETZUNG!$C$1:$C$21,
    helper_ZIELSETZUNG!$D$1:$D$21,
    ""
),"")</f>
        <v/>
      </c>
      <c r="C26" s="520"/>
      <c r="D26" s="520"/>
      <c r="E26" s="520"/>
      <c r="F26" s="520"/>
      <c r="G26" s="520"/>
      <c r="H26" s="520"/>
      <c r="I26" s="520"/>
      <c r="J26" s="214"/>
      <c r="K26" s="214"/>
      <c r="L26" s="522"/>
    </row>
    <row r="27" spans="1:12" s="27" customFormat="1" ht="18.75" customHeight="1" x14ac:dyDescent="0.25">
      <c r="A27" s="176" t="s">
        <v>426</v>
      </c>
      <c r="B27" s="520" t="str" cm="1">
        <f t="array" ref="B27">IF(UNTERNEHMUNG_FILLED, _xlfn.XLOOKUP(
    helper_ERGEBNISSE!$H$16 &amp; "-" &amp; helper_ERGEBNISSE!$H$17&amp; "-" &amp; helper_ERGEBNISSE!$H$18,
    helper_ZIELSETZUNG!$A$1:$A$21 &amp; "-" &amp; helper_ZIELSETZUNG!$B$1:$B$21 &amp; "-" &amp; helper_ZIELSETZUNG!$C$1:$C$21,
    helper_ZIELSETZUNG!$E$1:$E$21,
    ""
),"")</f>
        <v/>
      </c>
      <c r="C27" s="520"/>
      <c r="D27" s="520"/>
      <c r="E27" s="520"/>
      <c r="F27" s="520"/>
      <c r="G27" s="520"/>
      <c r="H27" s="520"/>
      <c r="I27" s="520"/>
      <c r="J27" s="214"/>
      <c r="K27" s="214"/>
      <c r="L27" s="522"/>
    </row>
    <row r="28" spans="1:12" ht="45" customHeight="1" x14ac:dyDescent="0.25">
      <c r="A28" s="177" t="s">
        <v>429</v>
      </c>
      <c r="B28" s="521" t="str" cm="1">
        <f t="array" ref="B28">IF(UNTERNEHMUNG_FILLED,_xlfn.TEXTJOIN(CHAR(10), TRUE, "   • " &amp; _xlfn.TEXTSPLIT(_xlfn.XLOOKUP(
    helper_ERGEBNISSE!$H$16 &amp; "-" &amp; helper_ERGEBNISSE!$H$17&amp; "-" &amp; helper_ERGEBNISSE!$H$18,
    helper_ZIELSETZUNG!$A$1:$A$21 &amp; "-" &amp; helper_ZIELSETZUNG!$B$1:$B$21 &amp; "-" &amp; helper_ZIELSETZUNG!$C$1:$C$21,
    helper_ZIELSETZUNG!$F$1:$F$21,
    ""
), "||")),"")</f>
        <v/>
      </c>
      <c r="C28" s="521"/>
      <c r="D28" s="521"/>
      <c r="E28" s="521"/>
      <c r="F28" s="521"/>
      <c r="G28" s="521"/>
      <c r="H28" s="521"/>
      <c r="I28" s="521"/>
      <c r="J28" s="214"/>
      <c r="K28" s="214"/>
      <c r="L28" s="522"/>
    </row>
    <row r="29" spans="1:12" ht="45" customHeight="1" x14ac:dyDescent="0.25">
      <c r="A29" s="177" t="s">
        <v>430</v>
      </c>
      <c r="B29" s="521" t="str" cm="1">
        <f t="array" ref="B29">IF(UNTERNEHMUNG_FILLED, _xlfn.TEXTJOIN(CHAR(10), TRUE, "   • " &amp; _xlfn.TEXTSPLIT(_xlfn.XLOOKUP(
    helper_ERGEBNISSE!$H$16 &amp; "-" &amp; helper_ERGEBNISSE!$H$17&amp; "-" &amp; helper_ERGEBNISSE!$H$18,
    helper_ZIELSETZUNG!$A$1:$A$21 &amp; "-" &amp; helper_ZIELSETZUNG!$B$1:$B$21 &amp; "-" &amp; helper_ZIELSETZUNG!$C$1:$C$21,
    helper_ZIELSETZUNG!$G$1:$G$21,
    ""
),"||")),"")</f>
        <v/>
      </c>
      <c r="C29" s="521"/>
      <c r="D29" s="521"/>
      <c r="E29" s="521"/>
      <c r="F29" s="521"/>
      <c r="G29" s="521"/>
      <c r="H29" s="521"/>
      <c r="I29" s="521"/>
      <c r="J29" s="214"/>
      <c r="K29" s="214"/>
      <c r="L29" s="522"/>
    </row>
    <row r="30" spans="1:12" x14ac:dyDescent="0.25">
      <c r="A30" s="163" t="s">
        <v>28</v>
      </c>
      <c r="B30" s="90"/>
      <c r="C30" s="91"/>
      <c r="D30" s="91"/>
      <c r="E30" s="91"/>
      <c r="F30" s="91"/>
      <c r="G30" s="91"/>
      <c r="H30" s="91"/>
      <c r="I30" s="91"/>
      <c r="J30" s="91"/>
      <c r="K30" s="91"/>
      <c r="L30" s="166">
        <f>ENERGIETECHNIK_FILLED</f>
        <v>0</v>
      </c>
    </row>
    <row r="31" spans="1:12" x14ac:dyDescent="0.25">
      <c r="A31" s="167" t="s">
        <v>2</v>
      </c>
      <c r="B31" s="183"/>
      <c r="C31" s="183"/>
      <c r="D31" s="183"/>
      <c r="E31" s="183"/>
      <c r="F31" s="6"/>
      <c r="G31" s="6"/>
      <c r="H31" s="6"/>
      <c r="I31" s="6"/>
      <c r="J31" s="6"/>
      <c r="K31" s="6"/>
      <c r="L31" s="168"/>
    </row>
    <row r="32" spans="1:12" x14ac:dyDescent="0.25">
      <c r="A32" s="169"/>
      <c r="B32" s="496" t="str">
        <f>IF(ISBLANK(ENERGIETECHNIK!$K$3),"",ENERGIETECHNIK!$K$3)</f>
        <v/>
      </c>
      <c r="C32" s="496"/>
      <c r="D32" s="496"/>
      <c r="E32" s="496"/>
      <c r="G32" s="495" t="str">
        <f>IF(ISBLANK(ENERGIETECHNIK!$K$7),"",ENERGIETECHNIK!$K$7)</f>
        <v/>
      </c>
      <c r="H32" s="495"/>
      <c r="I32" s="495"/>
      <c r="J32" s="495"/>
      <c r="L32" s="170"/>
    </row>
    <row r="33" spans="1:22" x14ac:dyDescent="0.25">
      <c r="A33" s="169"/>
      <c r="B33" s="496" t="str">
        <f>IF(ISBLANK(ENERGIETECHNIK!$K$9),"",ENERGIETECHNIK!$K$9)</f>
        <v/>
      </c>
      <c r="C33" s="496"/>
      <c r="D33" s="496"/>
      <c r="E33" s="496"/>
      <c r="F33" s="184"/>
      <c r="G33" s="495" t="str">
        <f>IF(ISBLANK(ENERGIETECHNIK!$K$5),"",ENERGIETECHNIK!$K$5)</f>
        <v/>
      </c>
      <c r="H33" s="495"/>
      <c r="I33" s="495"/>
      <c r="J33" s="495"/>
      <c r="L33" s="170"/>
    </row>
    <row r="34" spans="1:22" x14ac:dyDescent="0.25">
      <c r="A34" s="167" t="s">
        <v>31</v>
      </c>
      <c r="B34" s="89"/>
      <c r="C34" s="6"/>
      <c r="D34" s="6"/>
      <c r="E34" s="6"/>
      <c r="F34" s="6"/>
      <c r="G34" s="6"/>
      <c r="H34" s="6"/>
      <c r="I34" s="6"/>
      <c r="J34" s="6"/>
      <c r="K34" s="6"/>
      <c r="L34" s="171"/>
    </row>
    <row r="35" spans="1:22" x14ac:dyDescent="0.25">
      <c r="A35" s="493" t="s">
        <v>354</v>
      </c>
      <c r="B35" s="494"/>
      <c r="C35" s="494"/>
      <c r="D35" s="494"/>
      <c r="E35" s="516" t="s">
        <v>355</v>
      </c>
      <c r="F35" s="516"/>
      <c r="G35" s="516"/>
      <c r="H35" s="516"/>
      <c r="I35" s="494" t="s">
        <v>359</v>
      </c>
      <c r="J35" s="494"/>
      <c r="K35" s="494"/>
      <c r="L35" s="511"/>
    </row>
    <row r="36" spans="1:22" x14ac:dyDescent="0.25">
      <c r="A36" s="500" t="str" cm="1">
        <f t="array" ref="A36">_xlfn.IFS(NOT(ENERGIETECHNIK_FILLED),helper_ERGEBNISSE!$A23,helper_ERGEBNISSE!$G23=0,helper_ERGEBNISSE!$A23&amp;" sind nicht vorhanden",ENERGIETECHNIK_FILLED,"")</f>
        <v>RI-Schemata</v>
      </c>
      <c r="B36" s="491"/>
      <c r="C36" s="491"/>
      <c r="D36" s="491"/>
      <c r="E36" s="501" t="str">
        <f>IF(AND(ENERGIETECHNIK_FILLED,helper_ERGEBNISSE!$G23&gt;0),helper_ERGEBNISSE!$A23&amp;" sind vorhanden","")</f>
        <v/>
      </c>
      <c r="F36" s="501"/>
      <c r="G36" s="501"/>
      <c r="H36" s="501"/>
      <c r="I36" s="491" t="str">
        <f>IF(AND(ENERGIETECHNIK_FILLED,helper_ENERGIETECHNIK!$D5),ENERGIETECHNIK!$O15,"")</f>
        <v/>
      </c>
      <c r="J36" s="491"/>
      <c r="K36" s="491"/>
      <c r="L36" s="492"/>
    </row>
    <row r="37" spans="1:22" x14ac:dyDescent="0.25">
      <c r="A37" s="500" t="str" cm="1">
        <f t="array" ref="A37">_xlfn.IFS(NOT(ENERGIETECHNIK_FILLED),helper_ERGEBNISSE!$A24,helper_ERGEBNISSE!$G24=0,helper_ERGEBNISSE!$A24&amp;" sind nicht vorhanden",ENERGIETECHNIK_FILLED,"")</f>
        <v>Stromflussdiagramme</v>
      </c>
      <c r="B37" s="491"/>
      <c r="C37" s="491"/>
      <c r="D37" s="491"/>
      <c r="E37" s="501" t="str">
        <f>IF(AND(ENERGIETECHNIK_FILLED,helper_ERGEBNISSE!$G24&gt;0),helper_ERGEBNISSE!$A24&amp;" sind vorhanden","")</f>
        <v/>
      </c>
      <c r="F37" s="501"/>
      <c r="G37" s="501"/>
      <c r="H37" s="501"/>
      <c r="I37" s="491" t="str">
        <f>IF(AND(ENERGIETECHNIK_FILLED,helper_ENERGIETECHNIK!$D6),ENERGIETECHNIK!$O16,"")</f>
        <v/>
      </c>
      <c r="J37" s="491"/>
      <c r="K37" s="491"/>
      <c r="L37" s="492"/>
    </row>
    <row r="38" spans="1:22" x14ac:dyDescent="0.25">
      <c r="A38" s="500" t="str" cm="1">
        <f t="array" ref="A38">_xlfn.IFS(NOT(ENERGIETECHNIK_FILLED),helper_ERGEBNISSE!$A25,helper_ERGEBNISSE!$G25=0,helper_ERGEBNISSE!$A25&amp;" sind nicht vorhanden",ENERGIETECHNIK_FILLED,"")</f>
        <v>Wärmeflussdiagramme</v>
      </c>
      <c r="B38" s="491"/>
      <c r="C38" s="491"/>
      <c r="D38" s="491"/>
      <c r="E38" s="501" t="str">
        <f>IF(AND(ENERGIETECHNIK_FILLED,helper_ERGEBNISSE!$G25&gt;0),helper_ERGEBNISSE!$A25&amp;" sind vorhanden","")</f>
        <v/>
      </c>
      <c r="F38" s="501"/>
      <c r="G38" s="501"/>
      <c r="H38" s="501"/>
      <c r="I38" s="491" t="str">
        <f>IF(AND(ENERGIETECHNIK_FILLED,helper_ENERGIETECHNIK!$D7),ENERGIETECHNIK!$O17,"")</f>
        <v/>
      </c>
      <c r="J38" s="491"/>
      <c r="K38" s="491"/>
      <c r="L38" s="492"/>
    </row>
    <row r="39" spans="1:22" x14ac:dyDescent="0.25">
      <c r="A39" s="500" t="str" cm="1">
        <f t="array" ref="A39">_xlfn.IFS(NOT(ENERGIETECHNIK_FILLED),helper_ERGEBNISSE!$A26,helper_ERGEBNISSE!$G26=0,"Es wurde kein "&amp;helper_ERGEBNISSE!$A26&amp;" kürzlich durchgeführt",ENERGIETECHNIK_FILLED,"")</f>
        <v>Energie-Audit</v>
      </c>
      <c r="B39" s="491"/>
      <c r="C39" s="491"/>
      <c r="D39" s="491"/>
      <c r="E39" s="501" t="str">
        <f>IF(AND(ENERGIETECHNIK_FILLED,helper_ERGEBNISSE!$G26&gt;0),helper_ERGEBNISSE!$A26&amp;" wurde kürzlich durchgeführt","")</f>
        <v/>
      </c>
      <c r="F39" s="501"/>
      <c r="G39" s="501"/>
      <c r="H39" s="501"/>
      <c r="I39" s="491" t="str">
        <f>IF(AND(ENERGIETECHNIK_FILLED,helper_ENERGIETECHNIK!$D8),ENERGIETECHNIK!$O18,"")</f>
        <v/>
      </c>
      <c r="J39" s="491"/>
      <c r="K39" s="491"/>
      <c r="L39" s="492"/>
    </row>
    <row r="40" spans="1:22" x14ac:dyDescent="0.25">
      <c r="A40" s="500" t="str" cm="1">
        <f t="array" ref="A40">_xlfn.IFS(NOT(ENERGIETECHNIK_FILLED),helper_ERGEBNISSE!$A27,helper_ERGEBNISSE!$G27=0,"Der Betrieb ist nicht nach "&amp;helper_ERGEBNISSE!$A27&amp;" zertifiziert",ENERGIETECHNIK_FILLED,"")</f>
        <v>ISO 50001</v>
      </c>
      <c r="B40" s="491"/>
      <c r="C40" s="491"/>
      <c r="D40" s="491"/>
      <c r="E40" s="501" t="str">
        <f>IF(AND(ENERGIETECHNIK_FILLED,helper_ERGEBNISSE!$G27&gt;0),"Der Betrieb ist nach "&amp;helper_ERGEBNISSE!$A27&amp;" zertifiziert","")</f>
        <v/>
      </c>
      <c r="F40" s="501"/>
      <c r="G40" s="501"/>
      <c r="H40" s="501"/>
      <c r="I40" s="491" t="str">
        <f>IF(AND(ENERGIETECHNIK_FILLED,helper_ENERGIETECHNIK!$D9),ENERGIETECHNIK!$O19,"")</f>
        <v/>
      </c>
      <c r="J40" s="491"/>
      <c r="K40" s="491"/>
      <c r="L40" s="492"/>
    </row>
    <row r="41" spans="1:22" x14ac:dyDescent="0.25">
      <c r="A41" s="167" t="s">
        <v>476</v>
      </c>
      <c r="B41" s="89"/>
      <c r="C41" s="6"/>
      <c r="D41" s="6"/>
      <c r="E41" s="6"/>
      <c r="F41" s="6"/>
      <c r="G41" s="6"/>
      <c r="H41" s="6"/>
      <c r="I41" s="6"/>
      <c r="J41" s="6"/>
      <c r="K41" s="6"/>
      <c r="L41" s="171"/>
    </row>
    <row r="42" spans="1:22" x14ac:dyDescent="0.25">
      <c r="A42" s="499"/>
      <c r="B42" s="214"/>
      <c r="C42" s="494" t="s">
        <v>479</v>
      </c>
      <c r="D42" s="494"/>
      <c r="E42" s="494" t="s">
        <v>480</v>
      </c>
      <c r="F42" s="494"/>
      <c r="G42" s="494" t="s">
        <v>203</v>
      </c>
      <c r="H42" s="494"/>
      <c r="I42" s="185"/>
      <c r="J42" s="185"/>
      <c r="K42" s="185"/>
      <c r="L42" s="172"/>
    </row>
    <row r="43" spans="1:22" x14ac:dyDescent="0.25">
      <c r="A43" s="493" t="s">
        <v>478</v>
      </c>
      <c r="B43" s="494"/>
      <c r="C43" s="188" t="str">
        <f>IF(NOT(ENERGIETECHNIK_FILLED),"-",helper_ERGEBNISSE!$H$37)</f>
        <v>-</v>
      </c>
      <c r="D43" s="187" t="s">
        <v>407</v>
      </c>
      <c r="E43" s="188" t="str">
        <f>IF(NOT(ENERGIETECHNIK_FILLED),"-",helper_ERGEBNISSE!H$38)</f>
        <v>-</v>
      </c>
      <c r="F43" s="187" t="s">
        <v>407</v>
      </c>
      <c r="G43" s="188" t="str">
        <f>IF(NOT(ENERGIETECHNIK_FILLED),"-",helper_ERGEBNISSE!$H$39)</f>
        <v>-</v>
      </c>
      <c r="H43" s="187" t="s">
        <v>407</v>
      </c>
      <c r="I43" s="185"/>
      <c r="J43" s="185"/>
      <c r="K43" s="185"/>
      <c r="L43" s="172"/>
    </row>
    <row r="44" spans="1:22" x14ac:dyDescent="0.25">
      <c r="A44" s="493" t="s">
        <v>81</v>
      </c>
      <c r="B44" s="494"/>
      <c r="C44" s="188" t="str">
        <f>IF(NOT(ENERGIETECHNIK_FILLED),"-",helper_ERGEBNISSE!H$44)</f>
        <v>-</v>
      </c>
      <c r="D44" s="187" t="s">
        <v>407</v>
      </c>
      <c r="E44" s="188" t="str">
        <f>IF(NOT(ENERGIETECHNIK_FILLED),"-",helper_ERGEBNISSE!H$45)</f>
        <v>-</v>
      </c>
      <c r="F44" s="187" t="s">
        <v>407</v>
      </c>
      <c r="G44" s="188" t="str">
        <f>IF(NOT(ENERGIETECHNIK_FILLED),"-",helper_ERGEBNISSE!H$46)</f>
        <v>-</v>
      </c>
      <c r="H44" s="187" t="s">
        <v>407</v>
      </c>
      <c r="I44" s="185"/>
      <c r="J44" s="185"/>
      <c r="K44" s="185"/>
      <c r="L44" s="172"/>
      <c r="V44" s="178"/>
    </row>
    <row r="45" spans="1:22" x14ac:dyDescent="0.25">
      <c r="A45" s="493" t="s">
        <v>489</v>
      </c>
      <c r="B45" s="494"/>
      <c r="C45" s="494" t="s">
        <v>361</v>
      </c>
      <c r="D45" s="494"/>
      <c r="E45" s="494"/>
      <c r="F45" s="494"/>
      <c r="G45" s="494"/>
      <c r="H45" s="494"/>
      <c r="I45" s="185"/>
      <c r="J45" s="185"/>
      <c r="K45" s="185"/>
      <c r="L45" s="172"/>
    </row>
    <row r="46" spans="1:22" x14ac:dyDescent="0.25">
      <c r="A46" s="497" t="str">
        <f>helper_ERGEBNISSE!$A40</f>
        <v>Balance</v>
      </c>
      <c r="B46" s="498"/>
      <c r="C46" s="491" t="str">
        <f>IF(NOT(ENERGIETECHNIK_FILLED),"","Es wird elektrisch "&amp;IF(helper_ERGEBNISSE!$H$40&gt;1,"mehr","weniger")&amp;" und thermisch "&amp;IF(helper_ERGEBNISSE!$I$40&gt;1,"mehr","weniger")&amp;" produziert "&amp;IF(helper_ERGEBNISSE!$J$40,"als benötigt"," aber nicht genug insgesamt"))</f>
        <v/>
      </c>
      <c r="D46" s="491"/>
      <c r="E46" s="491"/>
      <c r="F46" s="491"/>
      <c r="G46" s="491"/>
      <c r="H46" s="491"/>
      <c r="I46" s="189" t="str" cm="1">
        <f t="array" ref="I46">IF(NOT(ENERGIETECHNIK_FILLED),"",_xlfn.IFS(helper_ERGEBNISSE!$G40=helper_ERGEBNISSE!$E40,"Positiv", helper_ERGEBNISSE!$G40=helper_ERGEBNISSE!$D40,"Neutral",helper_ERGEBNISSE!$G40&lt;helper_ERGEBNISSE!$E40,"Eher positiv"))</f>
        <v/>
      </c>
      <c r="J46" s="185"/>
      <c r="K46" s="185"/>
      <c r="L46" s="172"/>
    </row>
    <row r="47" spans="1:22" x14ac:dyDescent="0.25">
      <c r="A47" s="497" t="str">
        <f>helper_ERGEBNISSE!$A41</f>
        <v>Diversifizierung</v>
      </c>
      <c r="B47" s="498"/>
      <c r="C47" s="491" t="str" cm="1">
        <f t="array" ref="C47">IF(NOT(ENERGIETECHNIK_FILLED),"","Die "&amp;helper_ERGEBNISSE!$H$41&amp;" Aufbringungsarten und deren Verteilung spricht für "&amp;_xlfn.LET(_xlpm.min,helper_ERGEBNISSE!$D$41,_xlpm.max,helper_ERGEBNISSE!$E$41,_xlpm.mid,(_xlpm.min+_xlpm.max)/2,_xlfn.IFS(helper_ERGEBNISSE!$G$41=_xlpm.min,"keine",helper_ERGEBNISSE!$G$41=_xlpm.max, "eine hohe", AND(helper_ERGEBNISSE!$G$41&gt;_xlpm.min,helper_ERGEBNISSE!$G$41&lt;_xlpm.mid),"eine geringe",AND(helper_ERGEBNISSE!$G$41&gt;=_xlpm.mid,helper_ERGEBNISSE!$G$41&lt;_xlpm.max),"eine hohe"))&amp;" Diversifizierung")</f>
        <v/>
      </c>
      <c r="D47" s="491"/>
      <c r="E47" s="491"/>
      <c r="F47" s="491"/>
      <c r="G47" s="491"/>
      <c r="H47" s="491"/>
      <c r="I47" s="189" t="str" cm="1">
        <f t="array" ref="I47">IF(NOT(ENERGIETECHNIK_FILLED),"",_xlfn.IFS(helper_ERGEBNISSE!$G41=helper_ERGEBNISSE!$E41,"Positiv", helper_ERGEBNISSE!$G41=helper_ERGEBNISSE!$D41,"Neutral",helper_ERGEBNISSE!$G41&lt;helper_ERGEBNISSE!$E41,"Eher positiv"))</f>
        <v/>
      </c>
      <c r="J47" s="185"/>
      <c r="K47" s="185"/>
      <c r="L47" s="172"/>
    </row>
    <row r="48" spans="1:22" x14ac:dyDescent="0.25">
      <c r="A48" s="497" t="str">
        <f>helper_ERGEBNISSE!$A42</f>
        <v>Spitzenleistung</v>
      </c>
      <c r="B48" s="498"/>
      <c r="C48" s="491" t="str" cm="1">
        <f t="array" ref="C48">IF(NOT(ENERGIETECHNIK_FILLED),"","Spitzenleistung ("&amp;helper_ERGEBNISSE!$H$42&amp;" MW) und maximale Spitzenlast ("&amp;ROUND(helper_ERGEBNISSE!$J$29,0)&amp;" MW) ergeben "&amp;_xlfn.LET(_xlpm.min,helper_ERGEBNISSE!$D$42,_xlpm.max,helper_ERGEBNISSE!$E$42,_xlpm.mid,(_xlpm.min+_xlpm.max)/2,_xlfn.IFS(helper_ERGEBNISSE!$G$42=_xlpm.min,"keine",helper_ERGEBNISSE!$G$42=_xlpm.max, "eine hohe", AND(helper_ERGEBNISSE!$G$42&gt;_xlpm.min,helper_ERGEBNISSE!$G$42&lt;_xlpm.mid),"eine geringe",AND(helper_ERGEBNISSE!$G$42&gt;=_xlpm.mid,helper_ERGEBNISSE!$G$42&lt;_xlpm.max),"eine gewisse"))&amp;" Flexibilität")</f>
        <v/>
      </c>
      <c r="D48" s="491"/>
      <c r="E48" s="491"/>
      <c r="F48" s="491"/>
      <c r="G48" s="491"/>
      <c r="H48" s="491"/>
      <c r="I48" s="189" t="str" cm="1">
        <f t="array" ref="I48">IF(NOT(ENERGIETECHNIK_FILLED),"",_xlfn.IFS(helper_ERGEBNISSE!$G42=helper_ERGEBNISSE!$E42,"Positiv", helper_ERGEBNISSE!$G42=helper_ERGEBNISSE!$D42,"Neutral",helper_ERGEBNISSE!$G42&lt;helper_ERGEBNISSE!$E42,"Eher positiv"))</f>
        <v/>
      </c>
      <c r="J48" s="185"/>
      <c r="K48" s="185"/>
      <c r="L48" s="172"/>
    </row>
    <row r="49" spans="1:12" x14ac:dyDescent="0.25">
      <c r="A49" s="493" t="s">
        <v>488</v>
      </c>
      <c r="B49" s="494"/>
      <c r="C49" s="494" t="s">
        <v>487</v>
      </c>
      <c r="D49" s="494"/>
      <c r="E49" s="494"/>
      <c r="F49" s="494"/>
      <c r="G49" s="494"/>
      <c r="H49" s="494"/>
      <c r="I49" s="185" t="s">
        <v>361</v>
      </c>
      <c r="J49" s="185"/>
      <c r="K49" s="185"/>
      <c r="L49" s="172"/>
    </row>
    <row r="50" spans="1:12" x14ac:dyDescent="0.25">
      <c r="A50" s="497" t="str">
        <f>helper_ERGEBNISSE!$A47</f>
        <v>Netzbezug Strom</v>
      </c>
      <c r="B50" s="498"/>
      <c r="C50" s="491" t="str">
        <f>IF(ENERGIETECHNIK_FILLED,IF(helper_ERGEBNISSE!$C47,_xlfn.TEXTJOIN("; ",TRUE,helper_ERGEBNISSE!$Q47:$T47),"Nicht vorhanden daher ggf. Nutzung in Betracht ziehen"),"")</f>
        <v/>
      </c>
      <c r="D50" s="491"/>
      <c r="E50" s="491"/>
      <c r="F50" s="491"/>
      <c r="G50" s="491"/>
      <c r="H50" s="491"/>
      <c r="I50" s="189" t="str" cm="1">
        <f t="array" ref="I50">IF(NOT(ENERGIETECHNIK_FILLED),"",_xlfn.IFS(helper_ERGEBNISSE!$G47=helper_ERGEBNISSE!$E47,"Positiv", helper_ERGEBNISSE!$G47=helper_ERGEBNISSE!$D47,"Neutral",helper_ERGEBNISSE!$G47&lt;helper_ERGEBNISSE!$E47,"Eher positiv"))</f>
        <v/>
      </c>
      <c r="J50" s="185"/>
      <c r="K50" s="185"/>
      <c r="L50" s="172"/>
    </row>
    <row r="51" spans="1:12" x14ac:dyDescent="0.25">
      <c r="A51" s="497" t="str">
        <f>helper_ERGEBNISSE!$A48</f>
        <v>Photovoltaik</v>
      </c>
      <c r="B51" s="498"/>
      <c r="C51" s="491" t="str">
        <f>IF(ENERGIETECHNIK_FILLED,IF(helper_ERGEBNISSE!$C48,_xlfn.TEXTJOIN("; ",TRUE,helper_ERGEBNISSE!$Q48:$T48),"Nicht vorhanden daher ggf. Nutzung in Betracht ziehen"),"")</f>
        <v/>
      </c>
      <c r="D51" s="491"/>
      <c r="E51" s="491"/>
      <c r="F51" s="491"/>
      <c r="G51" s="491"/>
      <c r="H51" s="491"/>
      <c r="I51" s="189" t="str" cm="1">
        <f t="array" ref="I51">IF(NOT(ENERGIETECHNIK_FILLED),"",_xlfn.IFS(helper_ERGEBNISSE!$G48=helper_ERGEBNISSE!$E48,"Positiv", helper_ERGEBNISSE!$G48=helper_ERGEBNISSE!$D48,"Neutral",helper_ERGEBNISSE!$G48&lt;helper_ERGEBNISSE!$E48,"Eher positiv"))</f>
        <v/>
      </c>
      <c r="J51" s="185"/>
      <c r="K51" s="185"/>
      <c r="L51" s="172"/>
    </row>
    <row r="52" spans="1:12" x14ac:dyDescent="0.25">
      <c r="A52" s="497" t="str">
        <f>helper_ERGEBNISSE!$A49</f>
        <v>KWK</v>
      </c>
      <c r="B52" s="498"/>
      <c r="C52" s="491" t="str">
        <f>IF(ENERGIETECHNIK_FILLED,IF(helper_ERGEBNISSE!$C49,_xlfn.TEXTJOIN("; ",TRUE,helper_ERGEBNISSE!$Q49:$T49),"Nicht vorhanden daher ggf. Nutzung in Betracht ziehen"),"")</f>
        <v/>
      </c>
      <c r="D52" s="491"/>
      <c r="E52" s="491"/>
      <c r="F52" s="491"/>
      <c r="G52" s="491"/>
      <c r="H52" s="491"/>
      <c r="I52" s="189" t="str" cm="1">
        <f t="array" ref="I52">IF(NOT(ENERGIETECHNIK_FILLED),"",_xlfn.IFS(helper_ERGEBNISSE!$G49=helper_ERGEBNISSE!$E49,"Positiv", helper_ERGEBNISSE!$G49=helper_ERGEBNISSE!$D49,"Neutral",helper_ERGEBNISSE!$G49&lt;helper_ERGEBNISSE!$E49,"Eher positiv"))</f>
        <v/>
      </c>
      <c r="J52" s="185"/>
      <c r="K52" s="185"/>
      <c r="L52" s="172"/>
    </row>
    <row r="53" spans="1:12" x14ac:dyDescent="0.25">
      <c r="A53" s="497" t="str">
        <f>helper_ERGEBNISSE!$A51</f>
        <v>Netzbezug Gas</v>
      </c>
      <c r="B53" s="498"/>
      <c r="C53" s="491" t="str">
        <f>IF(ENERGIETECHNIK_FILLED,IF(helper_ERGEBNISSE!$C51,_xlfn.TEXTJOIN("; ",TRUE,helper_ERGEBNISSE!$Q51:$T51),"Nicht vorhanden daher ggf. Nutzung in Betracht ziehen"),"")</f>
        <v/>
      </c>
      <c r="D53" s="491"/>
      <c r="E53" s="491"/>
      <c r="F53" s="491"/>
      <c r="G53" s="491"/>
      <c r="H53" s="491"/>
      <c r="I53" s="189" t="str" cm="1">
        <f t="array" ref="I53">IF(NOT(ENERGIETECHNIK_FILLED),"",_xlfn.IFS(helper_ERGEBNISSE!$G51=helper_ERGEBNISSE!$E51,"Positiv", helper_ERGEBNISSE!$G51=helper_ERGEBNISSE!$D51,"Neutral",helper_ERGEBNISSE!$G51&lt;helper_ERGEBNISSE!$E51,"Eher positiv"))</f>
        <v/>
      </c>
      <c r="J53" s="185"/>
      <c r="K53" s="185"/>
      <c r="L53" s="172"/>
    </row>
    <row r="54" spans="1:12" x14ac:dyDescent="0.25">
      <c r="A54" s="497" t="str">
        <f>helper_ERGEBNISSE!$A52</f>
        <v>Netzbezug Fernwärme</v>
      </c>
      <c r="B54" s="498"/>
      <c r="C54" s="491" t="str">
        <f>IF(ENERGIETECHNIK_FILLED,IF(helper_ERGEBNISSE!$C52,_xlfn.TEXTJOIN("; ",TRUE,helper_ERGEBNISSE!$Q52:$T52),"Nicht vorhanden daher ggf. Nutzung in Betracht ziehen"),"")</f>
        <v/>
      </c>
      <c r="D54" s="491"/>
      <c r="E54" s="491"/>
      <c r="F54" s="491"/>
      <c r="G54" s="491"/>
      <c r="H54" s="491"/>
      <c r="I54" s="189" t="str" cm="1">
        <f t="array" ref="I54">IF(NOT(ENERGIETECHNIK_FILLED),"",_xlfn.IFS(helper_ERGEBNISSE!$G52=helper_ERGEBNISSE!$E52,"Positiv", helper_ERGEBNISSE!$G52=helper_ERGEBNISSE!$D52,"Neutral",helper_ERGEBNISSE!$G52&lt;helper_ERGEBNISSE!$E52,"Eher positiv"))</f>
        <v/>
      </c>
      <c r="J54" s="185"/>
      <c r="K54" s="185"/>
      <c r="L54" s="172"/>
    </row>
    <row r="55" spans="1:12" x14ac:dyDescent="0.25">
      <c r="A55" s="497" t="str">
        <f>helper_ERGEBNISSE!$A53</f>
        <v>Solarthermie</v>
      </c>
      <c r="B55" s="498"/>
      <c r="C55" s="491" t="str">
        <f>IF(ENERGIETECHNIK_FILLED,IF(helper_ERGEBNISSE!$C53,_xlfn.TEXTJOIN("; ",TRUE,helper_ERGEBNISSE!$Q53:$T53),"Nicht vorhanden daher ggf. Nutzung in Betracht ziehen"),"")</f>
        <v/>
      </c>
      <c r="D55" s="491"/>
      <c r="E55" s="491"/>
      <c r="F55" s="491"/>
      <c r="G55" s="491"/>
      <c r="H55" s="491"/>
      <c r="I55" s="189" t="str" cm="1">
        <f t="array" ref="I55">IF(NOT(ENERGIETECHNIK_FILLED),"",_xlfn.IFS(helper_ERGEBNISSE!$G53=helper_ERGEBNISSE!$E53,"Positiv", helper_ERGEBNISSE!$G53=helper_ERGEBNISSE!$D53,"Neutral",helper_ERGEBNISSE!$G53&lt;helper_ERGEBNISSE!$E53,"Eher positiv"))</f>
        <v/>
      </c>
      <c r="J55" s="185"/>
      <c r="K55" s="185"/>
      <c r="L55" s="172"/>
    </row>
    <row r="56" spans="1:12" x14ac:dyDescent="0.25">
      <c r="A56" s="507" t="str">
        <f>ENERGIETECHNIK!$A$21&amp;" &amp; "&amp;ENERGIETECHNIK!$A$76</f>
        <v>Energieverbrauch &amp; Energieaufbringung (Ergänzung)</v>
      </c>
      <c r="B56" s="508"/>
      <c r="C56" s="508"/>
      <c r="D56" s="508"/>
      <c r="E56" s="508"/>
      <c r="F56" s="508"/>
      <c r="G56" s="508"/>
      <c r="H56" s="508"/>
      <c r="I56" s="508"/>
      <c r="J56" s="508"/>
      <c r="K56" s="508"/>
      <c r="L56" s="509"/>
    </row>
    <row r="57" spans="1:12" ht="44.25" customHeight="1" x14ac:dyDescent="0.25">
      <c r="A57" s="502" t="str">
        <f>IF(OR(helper_ERGEBNISSE!$C$59,helper_ERGEBNISSE!$C$36),_xlfn.TEXTJOIN(CHAR(10),TRUE,ENERGIETECHNIK!$C$34,ENERGIETECHNIK!$C$77),"Keine")</f>
        <v>Keine</v>
      </c>
      <c r="B57" s="503"/>
      <c r="C57" s="503"/>
      <c r="D57" s="503"/>
      <c r="E57" s="503"/>
      <c r="F57" s="503"/>
      <c r="G57" s="503"/>
      <c r="H57" s="503"/>
      <c r="I57" s="503"/>
      <c r="J57" s="503"/>
      <c r="K57" s="503"/>
      <c r="L57" s="504"/>
    </row>
    <row r="58" spans="1:12" ht="15" customHeight="1" x14ac:dyDescent="0.25">
      <c r="A58" s="505" t="s">
        <v>363</v>
      </c>
      <c r="B58" s="506"/>
      <c r="C58" s="506"/>
      <c r="D58" s="506"/>
      <c r="E58" s="506"/>
      <c r="F58" s="506"/>
      <c r="G58" s="506"/>
      <c r="H58" s="506"/>
      <c r="I58" s="506"/>
      <c r="J58" s="506"/>
      <c r="K58" s="506"/>
      <c r="L58" s="146" t="s">
        <v>355</v>
      </c>
    </row>
    <row r="59" spans="1:12" x14ac:dyDescent="0.25">
      <c r="A59" s="167" t="s">
        <v>116</v>
      </c>
      <c r="B59" s="89"/>
      <c r="C59" s="89"/>
      <c r="D59" s="89"/>
      <c r="E59" s="89"/>
      <c r="F59" s="89"/>
      <c r="G59" s="89"/>
      <c r="H59" s="89"/>
      <c r="I59" s="89"/>
      <c r="J59" s="89"/>
      <c r="K59" s="89"/>
      <c r="L59" s="179"/>
    </row>
    <row r="60" spans="1:12" x14ac:dyDescent="0.25">
      <c r="A60" s="493" t="s">
        <v>473</v>
      </c>
      <c r="B60" s="494"/>
      <c r="C60" s="494" t="s">
        <v>475</v>
      </c>
      <c r="D60" s="494"/>
      <c r="E60" s="494"/>
      <c r="F60" s="494"/>
      <c r="G60" s="494"/>
      <c r="H60" s="494"/>
      <c r="I60" s="185" t="s">
        <v>474</v>
      </c>
      <c r="J60" s="494" t="s">
        <v>359</v>
      </c>
      <c r="K60" s="494"/>
      <c r="L60" s="172" t="s">
        <v>361</v>
      </c>
    </row>
    <row r="61" spans="1:12" x14ac:dyDescent="0.25">
      <c r="A61" s="497" t="str">
        <f>helper_ERGEBNISSE!$A55</f>
        <v>Stromspeicher</v>
      </c>
      <c r="B61" s="498"/>
      <c r="C61" s="491" t="str">
        <f>IF(NOT(ENERGIETECHNIK_FILLED),"",IF(helper_ERGEBNISSE!$H55=0,"Kein "&amp;$A61&amp;" vorhanden",helper_ERGEBNISSE!$H55&amp;" "&amp;$A61&amp;" ("&amp;ENERGIETECHNIK!$J72&amp;") mit jeweils "&amp;helper_ERGEBNISSE!$I55&amp;" MWh Speicherkapazität vorhanden"))</f>
        <v/>
      </c>
      <c r="D61" s="491"/>
      <c r="E61" s="491"/>
      <c r="F61" s="491"/>
      <c r="G61" s="491"/>
      <c r="H61" s="491"/>
      <c r="I61" s="186" t="str">
        <f>IF(NOT(ENERGIETECHNIK_FILLED),"",TEXT(helper_ERGEBNISSE!$H44,"###.###")&amp;" MWh/a")</f>
        <v/>
      </c>
      <c r="J61" s="491"/>
      <c r="K61" s="491"/>
      <c r="L61" s="173" t="str" cm="1">
        <f t="array" ref="L61">IF(NOT(ENERGIETECHNIK_FILLED),"",_xlfn.IFS(helper_ERGEBNISSE!$G55=helper_ERGEBNISSE!$E55,"Positiv", helper_ERGEBNISSE!$G55=helper_ERGEBNISSE!$D55,"Neutral",helper_ERGEBNISSE!$G55&lt;helper_ERGEBNISSE!$E55,"Eher positiv"))</f>
        <v/>
      </c>
    </row>
    <row r="62" spans="1:12" x14ac:dyDescent="0.25">
      <c r="A62" s="497" t="str">
        <f>helper_ERGEBNISSE!$A56</f>
        <v>Wärmespeicher</v>
      </c>
      <c r="B62" s="498"/>
      <c r="C62" s="491" t="str">
        <f>IF(NOT(ENERGIETECHNIK_FILLED),"",IF(helper_ERGEBNISSE!$H56=0,"Kein "&amp;$A62&amp;" vorhanden",helper_ERGEBNISSE!$H56&amp;" "&amp;$A62&amp;" ("&amp;ENERGIETECHNIK!$J73&amp;") mit jeweils "&amp;helper_ERGEBNISSE!$I56&amp;" MWh Speicherkapazität vorhanden"))</f>
        <v/>
      </c>
      <c r="D62" s="491"/>
      <c r="E62" s="491"/>
      <c r="F62" s="491"/>
      <c r="G62" s="491"/>
      <c r="H62" s="491"/>
      <c r="I62" s="186" t="str">
        <f>IF(NOT(ENERGIETECHNIK_FILLED),"",TEXT(helper_ERGEBNISSE!$H45,"###.###")&amp;" MWh/a")</f>
        <v/>
      </c>
      <c r="J62" s="491"/>
      <c r="K62" s="491"/>
      <c r="L62" s="173" t="str" cm="1">
        <f t="array" ref="L62">IF(NOT(ENERGIETECHNIK_FILLED),"",_xlfn.IFS(helper_ERGEBNISSE!$G56=helper_ERGEBNISSE!$E56,"Positiv", helper_ERGEBNISSE!$G56=helper_ERGEBNISSE!$D56,"Neutral",helper_ERGEBNISSE!$G56&lt;helper_ERGEBNISSE!$E56,"Eher positiv"))</f>
        <v/>
      </c>
    </row>
    <row r="63" spans="1:12" x14ac:dyDescent="0.25">
      <c r="A63" s="497" t="str">
        <f>helper_ERGEBNISSE!$A57</f>
        <v>Anderer Energiespeicher</v>
      </c>
      <c r="B63" s="498"/>
      <c r="C63" s="491" t="str">
        <f>IF(NOT(ENERGIETECHNIK_FILLED),"",IF(helper_ERGEBNISSE!$H57=0,"Kein weiterer Energiespeicher vorhanden",helper_ERGEBNISSE!$H57&amp;" weitere Energiespeicher ("&amp;ENERGIETECHNIK!$J74&amp;") mit jeweils "&amp;helper_ERGEBNISSE!$I57&amp;" MWh Speicherkapazität vorhanden"))</f>
        <v/>
      </c>
      <c r="D63" s="491"/>
      <c r="E63" s="491"/>
      <c r="F63" s="491"/>
      <c r="G63" s="491"/>
      <c r="H63" s="491"/>
      <c r="I63" s="186" t="str">
        <f>IF(NOT(ENERGIETECHNIK_FILLED),"","-")</f>
        <v/>
      </c>
      <c r="J63" s="491" t="str">
        <f>IF(NOT(ENERGIETECHNIK_FILLED),"",IF(helper_ERGEBNISSE!$C$57,"Ideale Größe (Schätzung): "&amp;helper_ERGEBNISSE!$N$57&amp;" MWh",""))</f>
        <v/>
      </c>
      <c r="K63" s="491"/>
      <c r="L63" s="173" t="str" cm="1">
        <f t="array" ref="L63">IF(NOT(ENERGIETECHNIK_FILLED),"",_xlfn.IFS(NOT(helper_ERGEBNISSE!$C57),"",helper_ERGEBNISSE!$G57=helper_ERGEBNISSE!$E57,"Positiv", helper_ERGEBNISSE!$G57=helper_ERGEBNISSE!$D57,"Neutral",helper_ERGEBNISSE!$G57&lt;helper_ERGEBNISSE!$E57,"Eher positiv"))</f>
        <v/>
      </c>
    </row>
    <row r="64" spans="1:12" x14ac:dyDescent="0.25">
      <c r="A64" s="507" t="str">
        <f>ENERGIETECHNIK!$A$79</f>
        <v>Energiespeicher (Ergänzung)</v>
      </c>
      <c r="B64" s="508"/>
      <c r="C64" s="508"/>
      <c r="D64" s="508"/>
      <c r="E64" s="508"/>
      <c r="F64" s="508"/>
      <c r="G64" s="508"/>
      <c r="H64" s="508"/>
      <c r="I64" s="508"/>
      <c r="J64" s="508"/>
      <c r="K64" s="508"/>
      <c r="L64" s="509"/>
    </row>
    <row r="65" spans="1:12" ht="33" customHeight="1" x14ac:dyDescent="0.25">
      <c r="A65" s="502" t="str">
        <f>IF(helper_ERGEBNISSE!$C$61,ENERGIETECHNIK!$C$80,"Keine")</f>
        <v>Keine</v>
      </c>
      <c r="B65" s="503"/>
      <c r="C65" s="503"/>
      <c r="D65" s="503"/>
      <c r="E65" s="503"/>
      <c r="F65" s="503"/>
      <c r="G65" s="503"/>
      <c r="H65" s="503"/>
      <c r="I65" s="503"/>
      <c r="J65" s="503"/>
      <c r="K65" s="503"/>
      <c r="L65" s="504"/>
    </row>
    <row r="66" spans="1:12" ht="15" customHeight="1" x14ac:dyDescent="0.25">
      <c r="A66" s="505" t="s">
        <v>363</v>
      </c>
      <c r="B66" s="506"/>
      <c r="C66" s="506"/>
      <c r="D66" s="506"/>
      <c r="E66" s="506"/>
      <c r="F66" s="506"/>
      <c r="G66" s="506"/>
      <c r="H66" s="506"/>
      <c r="I66" s="506"/>
      <c r="J66" s="506"/>
      <c r="K66" s="506"/>
      <c r="L66" s="146"/>
    </row>
    <row r="67" spans="1:12" x14ac:dyDescent="0.25">
      <c r="A67" s="167" t="s">
        <v>136</v>
      </c>
      <c r="B67" s="89"/>
      <c r="C67" s="89"/>
      <c r="D67" s="89"/>
      <c r="E67" s="89"/>
      <c r="F67" s="89"/>
      <c r="G67" s="89"/>
      <c r="H67" s="89"/>
      <c r="I67" s="89"/>
      <c r="J67" s="89"/>
      <c r="K67" s="89"/>
      <c r="L67" s="179"/>
    </row>
    <row r="68" spans="1:12" ht="33" customHeight="1" x14ac:dyDescent="0.25">
      <c r="A68" s="502" t="str">
        <f>IF(helper_ERGEBNISSE!$C$63,ENERGIETECHNIK!$C$83,"Keine")</f>
        <v>Keine</v>
      </c>
      <c r="B68" s="503"/>
      <c r="C68" s="503"/>
      <c r="D68" s="503"/>
      <c r="E68" s="503"/>
      <c r="F68" s="503"/>
      <c r="G68" s="503"/>
      <c r="H68" s="503"/>
      <c r="I68" s="503"/>
      <c r="J68" s="503"/>
      <c r="K68" s="503"/>
      <c r="L68" s="504"/>
    </row>
    <row r="69" spans="1:12" ht="15" customHeight="1" x14ac:dyDescent="0.25">
      <c r="A69" s="539" t="s">
        <v>363</v>
      </c>
      <c r="B69" s="540"/>
      <c r="C69" s="540"/>
      <c r="D69" s="540"/>
      <c r="E69" s="540"/>
      <c r="F69" s="540"/>
      <c r="G69" s="540"/>
      <c r="H69" s="540"/>
      <c r="I69" s="540"/>
      <c r="J69" s="540"/>
      <c r="K69" s="540"/>
      <c r="L69" s="159"/>
    </row>
    <row r="70" spans="1:12" x14ac:dyDescent="0.25">
      <c r="A70" s="163" t="s">
        <v>52</v>
      </c>
      <c r="B70" s="90"/>
      <c r="C70" s="90"/>
      <c r="D70" s="90"/>
      <c r="E70" s="90"/>
      <c r="F70" s="90"/>
      <c r="G70" s="90"/>
      <c r="H70" s="90"/>
      <c r="I70" s="90"/>
      <c r="J70" s="90"/>
      <c r="K70" s="90"/>
      <c r="L70" s="180">
        <f>PROZESSTECHNIK_FILLED</f>
        <v>0</v>
      </c>
    </row>
    <row r="71" spans="1:12" x14ac:dyDescent="0.25">
      <c r="A71" s="167" t="s">
        <v>2</v>
      </c>
      <c r="B71" s="183"/>
      <c r="C71" s="183"/>
      <c r="D71" s="183"/>
      <c r="E71" s="183"/>
      <c r="F71" s="6"/>
      <c r="G71" s="6"/>
      <c r="H71" s="6"/>
      <c r="I71" s="6"/>
      <c r="J71" s="6"/>
      <c r="K71" s="6"/>
      <c r="L71" s="168"/>
    </row>
    <row r="72" spans="1:12" x14ac:dyDescent="0.25">
      <c r="A72" s="169"/>
      <c r="B72" s="495" t="str">
        <f>IF(ISBLANK(PROZESSTECHNIK!$K$4),"",PROZESSTECHNIK!$K$4)</f>
        <v/>
      </c>
      <c r="C72" s="495"/>
      <c r="D72" s="495"/>
      <c r="E72" s="495"/>
      <c r="G72" s="496" t="str">
        <f>IF(ISBLANK(PROZESSTECHNIK!$K$8),"",PROZESSTECHNIK!$K$8)</f>
        <v/>
      </c>
      <c r="H72" s="496"/>
      <c r="I72" s="496"/>
      <c r="J72" s="496"/>
      <c r="L72" s="170"/>
    </row>
    <row r="73" spans="1:12" x14ac:dyDescent="0.25">
      <c r="A73" s="169"/>
      <c r="B73" s="495" t="str">
        <f>IF(ISBLANK(PROZESSTECHNIK!$K$10),"",PROZESSTECHNIK!$K$10)</f>
        <v/>
      </c>
      <c r="C73" s="495"/>
      <c r="D73" s="495"/>
      <c r="E73" s="495"/>
      <c r="F73" s="184"/>
      <c r="G73" s="496" t="str">
        <f>IF(ISBLANK(PROZESSTECHNIK!$K$6),"",PROZESSTECHNIK!$K$6)</f>
        <v/>
      </c>
      <c r="H73" s="496"/>
      <c r="I73" s="496"/>
      <c r="J73" s="496"/>
      <c r="L73" s="170"/>
    </row>
    <row r="74" spans="1:12" x14ac:dyDescent="0.25">
      <c r="A74" s="167" t="s">
        <v>54</v>
      </c>
      <c r="B74" s="89"/>
      <c r="C74" s="89"/>
      <c r="D74" s="89"/>
      <c r="E74" s="89"/>
      <c r="F74" s="89"/>
      <c r="G74" s="89"/>
      <c r="H74" s="89"/>
      <c r="I74" s="89"/>
      <c r="J74" s="89"/>
      <c r="K74" s="89"/>
      <c r="L74" s="179"/>
    </row>
    <row r="75" spans="1:12" x14ac:dyDescent="0.25">
      <c r="A75" s="493" t="s">
        <v>354</v>
      </c>
      <c r="B75" s="494"/>
      <c r="C75" s="494"/>
      <c r="D75" s="494"/>
      <c r="E75" s="516" t="s">
        <v>355</v>
      </c>
      <c r="F75" s="516"/>
      <c r="G75" s="516"/>
      <c r="H75" s="516"/>
      <c r="I75" s="494" t="s">
        <v>359</v>
      </c>
      <c r="J75" s="494"/>
      <c r="K75" s="494"/>
      <c r="L75" s="511"/>
    </row>
    <row r="76" spans="1:12" x14ac:dyDescent="0.25">
      <c r="A76" s="500" t="str" cm="1">
        <f t="array" ref="A76">_xlfn.IFS(NOT(PROZESSTECHNIK_FILLED),helper_ERGEBNISSE!$A67,helper_ERGEBNISSE!$G67=0,helper_ERGEBNISSE!$A67&amp;" sind nicht vorgesehen",PROZESSTECHNIK_FILLED,"")</f>
        <v>Geplante Stillstände</v>
      </c>
      <c r="B76" s="491"/>
      <c r="C76" s="491"/>
      <c r="D76" s="491"/>
      <c r="E76" s="501" t="str">
        <f>IF(AND(PROZESSTECHNIK_FILLED,helper_ERGEBNISSE!$G67&gt;0),helper_ERGEBNISSE!$A67&amp;" sind vorgesehen","")</f>
        <v/>
      </c>
      <c r="F76" s="501"/>
      <c r="G76" s="501"/>
      <c r="H76" s="501"/>
      <c r="I76" s="491" t="str">
        <f>IF(AND(PROZESSTECHNIK_FILLED,helper_PROZESSTECHNIK!$D5),"Beschreibung: "&amp;PROZESSTECHNIK!$M17,"")</f>
        <v/>
      </c>
      <c r="J76" s="491"/>
      <c r="K76" s="491"/>
      <c r="L76" s="492"/>
    </row>
    <row r="77" spans="1:12" x14ac:dyDescent="0.25">
      <c r="A77" s="500" t="str" cm="1">
        <f t="array" ref="A77">_xlfn.IFS(NOT(PROZESSTECHNIK_FILLED),helper_ERGEBNISSE!$A68,helper_ERGEBNISSE!$G68=0,"Es gibt keinen "&amp;helper_ERGEBNISSE!$A68,PROZESSTECHNIK_FILLED,"")</f>
        <v>Schichtbetrieb</v>
      </c>
      <c r="B77" s="491"/>
      <c r="C77" s="491"/>
      <c r="D77" s="491"/>
      <c r="E77" s="501" t="str">
        <f>IF(AND(PROZESSTECHNIK_FILLED,helper_ERGEBNISSE!$G68&gt;0),"Es gibt einen "&amp;helper_ERGEBNISSE!$A68,"")</f>
        <v/>
      </c>
      <c r="F77" s="501"/>
      <c r="G77" s="501"/>
      <c r="H77" s="501"/>
      <c r="I77" s="491" t="str">
        <f>IF(AND(PROZESSTECHNIK_FILLED,helper_PROZESSTECHNIK!$D6),"Beschreibung: "&amp;PROZESSTECHNIK!$M19,"")</f>
        <v/>
      </c>
      <c r="J77" s="491"/>
      <c r="K77" s="491"/>
      <c r="L77" s="492"/>
    </row>
    <row r="78" spans="1:12" x14ac:dyDescent="0.25">
      <c r="A78" s="500" t="str" cm="1">
        <f t="array" ref="A78">_xlfn.IFS(NOT(PROZESSTECHNIK_FILLED),helper_ERGEBNISSE!$A69,helper_ERGEBNISSE!$G69=0,"Es existieren keine "&amp;helper_ERGEBNISSE!$A69&amp;" in der Produktionskette",PROZESSTECHNIK_FILLED,"")</f>
        <v>Zwischenlager</v>
      </c>
      <c r="B78" s="491"/>
      <c r="C78" s="491"/>
      <c r="D78" s="491"/>
      <c r="E78" s="501" t="str">
        <f>IF(AND(PROZESSTECHNIK_FILLED,helper_ERGEBNISSE!$G69&gt;0),"Es existieren "&amp;helper_ERGEBNISSE!$A69&amp;" in der Produktionskette","")</f>
        <v/>
      </c>
      <c r="F78" s="501"/>
      <c r="G78" s="501"/>
      <c r="H78" s="501"/>
      <c r="I78" s="491"/>
      <c r="J78" s="491"/>
      <c r="K78" s="491"/>
      <c r="L78" s="492"/>
    </row>
    <row r="79" spans="1:12" x14ac:dyDescent="0.25">
      <c r="A79" s="500" t="str" cm="1">
        <f t="array" ref="A79">_xlfn.IFS(NOT(PROZESSTECHNIK_FILLED),helper_ERGEBNISSE!$A70,helper_ERGEBNISSE!$G70=0,"Es gibt keine "&amp;helper_ERGEBNISSE!$A70,PROZESSTECHNIK_FILLED,"")</f>
        <v>Aufzeichnung der Lagerfüllstände</v>
      </c>
      <c r="B79" s="491"/>
      <c r="C79" s="491"/>
      <c r="D79" s="491"/>
      <c r="E79" s="501" t="str">
        <f>IF(AND(PROZESSTECHNIK_FILLED,helper_ERGEBNISSE!$G70&gt;0),"Es gibt aktuelle "&amp;helper_ERGEBNISSE!$A70,"")</f>
        <v/>
      </c>
      <c r="F79" s="501"/>
      <c r="G79" s="501"/>
      <c r="H79" s="501"/>
      <c r="I79" s="491" t="str" cm="1">
        <f t="array" ref="I79">_xlfn.IFS(OR(NOT(PROZESSTECHNIK_FILLED),helper_ERGEBNISSE!$G$70=0),"",helper_PROZESSTECHNIK!$D$8,"Aufzeichnungen können weitergegeben werden", NOT(helper_PROZESSTECHNIK!$D$8),"Die Aufzeichnungen können nicht weitergegeben werden")</f>
        <v/>
      </c>
      <c r="J79" s="491"/>
      <c r="K79" s="491"/>
      <c r="L79" s="492"/>
    </row>
    <row r="80" spans="1:12" x14ac:dyDescent="0.25">
      <c r="A80" s="167" t="s">
        <v>391</v>
      </c>
      <c r="B80" s="89"/>
      <c r="C80" s="89"/>
      <c r="D80" s="89"/>
      <c r="E80" s="89"/>
      <c r="F80" s="89"/>
      <c r="G80" s="89"/>
      <c r="H80" s="89"/>
      <c r="I80" s="89"/>
      <c r="J80" s="89"/>
      <c r="K80" s="89"/>
      <c r="L80" s="179"/>
    </row>
    <row r="81" spans="1:12" x14ac:dyDescent="0.25">
      <c r="A81" s="493" t="s">
        <v>287</v>
      </c>
      <c r="B81" s="494"/>
      <c r="C81" s="494" t="s">
        <v>361</v>
      </c>
      <c r="D81" s="494"/>
      <c r="E81" s="494"/>
      <c r="F81" s="494"/>
      <c r="G81" s="494"/>
      <c r="H81" s="494"/>
      <c r="I81" s="494"/>
      <c r="J81" s="494"/>
      <c r="K81" s="494"/>
      <c r="L81" s="511"/>
    </row>
    <row r="82" spans="1:12" ht="30" customHeight="1" x14ac:dyDescent="0.25">
      <c r="A82" s="512" t="str">
        <f>helper_ERGEBNISSE!$A80</f>
        <v>Energieintensität</v>
      </c>
      <c r="B82" s="513"/>
      <c r="C82" s="510" t="str">
        <f>IF(NOT(PROZESSTECHNIK_FILLED),"","Bestimmt aus Gesamtenergiebedarf ("&amp;helper_ERGEBNISSE!$H$77&amp;" MWh/a) und den produktspezifischen Produktionsmengen und Durchlaufzeiten (siehe UNTERNEHMUNG).")</f>
        <v/>
      </c>
      <c r="D82" s="510"/>
      <c r="E82" s="510"/>
      <c r="F82" s="510"/>
      <c r="G82" s="510"/>
      <c r="H82" s="510" t="str">
        <f>IF(NOT(PROZESSTECHNIK_FILLED),"","Geschätzte mittlere Energieeffizienz: "&amp;ROUND(100*(1-helper_ERGEBNISSE!$H$80),0)&amp;"%")</f>
        <v/>
      </c>
      <c r="I82" s="510"/>
      <c r="J82" s="510" t="str" cm="1">
        <f t="array" ref="J82">IF(NOT(PROZESSTECHNIK_FILLED),"","Dies deutet auf "&amp;
_xlfn.LET(
_xlpm.low,helper_ERGEBNISSE!$D80,
_xlpm.high,helper_ERGEBNISSE!$E80,
_xlpm.mid,(_xlpm.low+_xlpm.high)/2,
_xlpm.val,helper_ERGEBNISSE!$G80,
_xlfn.IFS(
  _xlpm.val=_xlpm.high,"eine hohe",
  AND(_xlpm.val&lt;_xlpm.high,_xlpm.val&gt;_xlpm.mid),"eine gewisse",
  _xlpm.val=_xlpm.mid,"eine mittlere",
  AND(_xlpm.val&lt;_xlpm.mid,_xlpm.val&gt;_xlpm.low),"eine geringe",
  _xlpm.val=_xlpm.low,"keine"
))&amp;
" Flexibilität hin.")</f>
        <v/>
      </c>
      <c r="K82" s="510"/>
      <c r="L82" s="173" t="str" cm="1">
        <f t="array" ref="L82">IF(NOT(PROZESSTECHNIK_FILLED),"",_xlfn.LET(
_xlpm.low,helper_ERGEBNISSE!$D80,
_xlpm.high,helper_ERGEBNISSE!$E80,
_xlpm.mid,(_xlpm.low+_xlpm.high)/2,
_xlpm.val,helper_ERGEBNISSE!$G80,
_xlfn.IFS(_xlpm.val=_xlpm.high,"Positiv",_xlpm.val=_xlpm.low,"Negativ",_xlpm.val=_xlpm.mid,"Neutral",AND(_xlpm.val&lt;_xlpm.high,_xlpm.val&gt;_xlpm.mid),"Eher positiv",AND(_xlpm.val&lt;_xlpm.mid,_xlpm.val&gt;_xlpm.low),"Eher negativ")))</f>
        <v/>
      </c>
    </row>
    <row r="83" spans="1:12" ht="30" customHeight="1" x14ac:dyDescent="0.25">
      <c r="A83" s="512" t="str">
        <f>helper_ERGEBNISSE!$A81</f>
        <v>Ressourceneffizienz</v>
      </c>
      <c r="B83" s="513"/>
      <c r="C83" s="510" t="str">
        <f>IF(NOT(PROZESSTECHNIK_FILLED),"","Bestimmt aus dem Rohmaterialverbrauch ("&amp;helper_ERGEBNISSE!$H$72&amp;" t/a) und den produktspezifischen Produktionsmengen und Durchlaufzeiten (siehe UNTERNEHMUNG).")</f>
        <v/>
      </c>
      <c r="D83" s="510"/>
      <c r="E83" s="510"/>
      <c r="F83" s="510"/>
      <c r="G83" s="510"/>
      <c r="H83" s="510" t="str">
        <f>IF(NOT(PROZESSTECHNIK_FILLED),"","Geschätzte mittlere Ressourceneffizienz: "&amp;ROUND(100*(helper_ERGEBNISSE!$H$81),0)&amp;"%")</f>
        <v/>
      </c>
      <c r="I83" s="510"/>
      <c r="J83" s="510" t="str" cm="1">
        <f t="array" ref="J83">IF(NOT(PROZESSTECHNIK_FILLED),"","Dies deutet auf "&amp;
_xlfn.LET(
_xlpm.low,helper_ERGEBNISSE!$D81,
_xlpm.high,helper_ERGEBNISSE!$E81,
_xlpm.mid,(_xlpm.low+_xlpm.high)/2,
_xlpm.val,helper_ERGEBNISSE!$G81,
_xlfn.IFS(
  _xlpm.val=_xlpm.high,"eine hohe",
  AND(_xlpm.val&lt;_xlpm.high,_xlpm.val&gt;_xlpm.mid),"eine gewisse",
  _xlpm.val=_xlpm.mid,"eine mittlere",
  AND(_xlpm.val&lt;_xlpm.mid,_xlpm.val&gt;_xlpm.low),"eine geringe",
  _xlpm.val=_xlpm.low,"keine"
))&amp;
" Flexibilität hin.")</f>
        <v/>
      </c>
      <c r="K83" s="510"/>
      <c r="L83" s="173" t="str" cm="1">
        <f t="array" ref="L83">IF(NOT(PROZESSTECHNIK_FILLED),"",_xlfn.LET(
_xlpm.low,helper_ERGEBNISSE!$D81,
_xlpm.high,helper_ERGEBNISSE!$E81,
_xlpm.mid,(_xlpm.low+_xlpm.high)/2,
_xlpm.val,helper_ERGEBNISSE!$G81,
_xlfn.IFS(_xlpm.val=_xlpm.high,"Positiv",_xlpm.val=_xlpm.low,"Negativ",_xlpm.val=_xlpm.mid,"Neutral",AND(_xlpm.val&lt;_xlpm.high,_xlpm.val&gt;_xlpm.mid),"Eher positiv",AND(_xlpm.val&lt;_xlpm.mid,_xlpm.val&gt;_xlpm.low),"Eher negativ")))</f>
        <v/>
      </c>
    </row>
    <row r="84" spans="1:12" ht="30" customHeight="1" x14ac:dyDescent="0.25">
      <c r="A84" s="512" t="str">
        <f>helper_ERGEBNISSE!$A82</f>
        <v>Produktionsauslastung</v>
      </c>
      <c r="B84" s="513"/>
      <c r="C84" s="510" t="str">
        <f>IF(NOT(PROZESSTECHNIK_FILLED),"","Bestimmt aus der Gesamtbetriebszeit ("&amp;helper_ERGEBNISSE!$H$73&amp;" h/a) und den produktspezifischen Produktionsmengen und Durchlaufzeiten (siehe UNTERNEHMUNG).")</f>
        <v/>
      </c>
      <c r="D84" s="510"/>
      <c r="E84" s="510"/>
      <c r="F84" s="510"/>
      <c r="G84" s="510"/>
      <c r="H84" s="510" t="str">
        <f>IF(NOT(PROZESSTECHNIK_FILLED),"","Geschätzte mittlere Auslastungseffizienz: "&amp;ROUND(100*(1-helper_ERGEBNISSE!$H$82),0)&amp;"%")</f>
        <v/>
      </c>
      <c r="I84" s="510"/>
      <c r="J84" s="510" t="str" cm="1">
        <f t="array" ref="J84">IF(NOT(PROZESSTECHNIK_FILLED),"","Dies deutet auf "&amp;
_xlfn.LET(
_xlpm.low,helper_ERGEBNISSE!$D82,
_xlpm.high,helper_ERGEBNISSE!$E82,
_xlpm.mid,(_xlpm.low+_xlpm.high)/2,
_xlpm.val,helper_ERGEBNISSE!$G82,
_xlfn.IFS(
  _xlpm.val=_xlpm.high,"eine hohe",
  AND(_xlpm.val&lt;_xlpm.high,_xlpm.val&gt;_xlpm.mid),"eine gewisse",
  _xlpm.val=_xlpm.mid,"eine mittlere",
  AND(_xlpm.val&lt;_xlpm.mid,_xlpm.val&gt;_xlpm.low),"eine geringe",
  _xlpm.val=_xlpm.low,"keine"
))&amp;
" Flexibilität hin.")</f>
        <v/>
      </c>
      <c r="K84" s="510"/>
      <c r="L84" s="173" t="str" cm="1">
        <f t="array" ref="L84">IF(NOT(PROZESSTECHNIK_FILLED),"",_xlfn.LET(
_xlpm.low,helper_ERGEBNISSE!$D82,
_xlpm.high,helper_ERGEBNISSE!$E82,
_xlpm.mid,(_xlpm.low+_xlpm.high)/2,
_xlpm.val,helper_ERGEBNISSE!$G82,
_xlfn.IFS(_xlpm.val=_xlpm.high,"Positiv",_xlpm.val=_xlpm.low,"Negativ",_xlpm.val=_xlpm.mid,"Neutral",AND(_xlpm.val&lt;_xlpm.high,_xlpm.val&gt;_xlpm.mid),"Eher positiv",AND(_xlpm.val&lt;_xlpm.mid,_xlpm.val&gt;_xlpm.low),"Eher negativ")))</f>
        <v/>
      </c>
    </row>
    <row r="85" spans="1:12" x14ac:dyDescent="0.25">
      <c r="A85" s="167" t="s">
        <v>132</v>
      </c>
      <c r="B85" s="89"/>
      <c r="C85" s="89"/>
      <c r="D85" s="89"/>
      <c r="E85" s="89"/>
      <c r="F85" s="89"/>
      <c r="G85" s="89"/>
      <c r="H85" s="89"/>
      <c r="I85" s="89"/>
      <c r="J85" s="89"/>
      <c r="K85" s="89"/>
      <c r="L85" s="179"/>
    </row>
    <row r="86" spans="1:12" x14ac:dyDescent="0.25">
      <c r="A86" s="493" t="s">
        <v>367</v>
      </c>
      <c r="B86" s="494"/>
      <c r="C86" s="494"/>
      <c r="D86" s="494"/>
      <c r="E86" s="494"/>
      <c r="F86" s="494"/>
      <c r="G86" s="211" t="s">
        <v>361</v>
      </c>
      <c r="H86" s="211"/>
      <c r="I86" s="211"/>
      <c r="J86" s="211"/>
      <c r="K86" s="211"/>
      <c r="L86" s="518"/>
    </row>
    <row r="87" spans="1:12" x14ac:dyDescent="0.25">
      <c r="A87" s="181" t="s">
        <v>338</v>
      </c>
      <c r="B87" s="190" t="str" cm="1">
        <f t="array" ref="B87:B91">_xlfn.ANCHORARRAY(helper_ERGEBNISSE!$M$84)</f>
        <v>Energie aus Eigenerzeugung ist aktuell vorhanden (z.B. Hoher Ertrag an Solarstrom)</v>
      </c>
      <c r="C87" s="190"/>
      <c r="D87" s="190"/>
      <c r="E87" s="190"/>
      <c r="F87" s="190"/>
      <c r="G87" s="517" t="str">
        <f>IF(NOT(PROZESSTECHNIK_FILLED),"",helper_ERGEBNISSE!$R84)</f>
        <v/>
      </c>
      <c r="H87" s="517"/>
      <c r="I87" s="517"/>
      <c r="J87" s="517"/>
      <c r="K87" s="517"/>
      <c r="L87" s="173" t="str">
        <f>IF(NOT(PROZESSTECHNIK_FILLED),"",helper_ERGEBNISSE!$Q84)</f>
        <v/>
      </c>
    </row>
    <row r="88" spans="1:12" x14ac:dyDescent="0.25">
      <c r="A88" s="181" t="s">
        <v>339</v>
      </c>
      <c r="B88" s="190" t="str">
        <v>Anstehende Lieferfristen wurden verschoben</v>
      </c>
      <c r="C88" s="190"/>
      <c r="D88" s="190"/>
      <c r="E88" s="190"/>
      <c r="F88" s="190"/>
      <c r="G88" s="517" t="str">
        <f>IF(NOT(PROZESSTECHNIK_FILLED),"",helper_ERGEBNISSE!$R85)</f>
        <v/>
      </c>
      <c r="H88" s="517"/>
      <c r="I88" s="517"/>
      <c r="J88" s="517"/>
      <c r="K88" s="517"/>
      <c r="L88" s="173" t="str">
        <f>IF(NOT(PROZESSTECHNIK_FILLED),"",helper_ERGEBNISSE!$Q85)</f>
        <v/>
      </c>
    </row>
    <row r="89" spans="1:12" x14ac:dyDescent="0.25">
      <c r="A89" s="181" t="s">
        <v>340</v>
      </c>
      <c r="B89" s="190" t="str">
        <v>Anstehende Materialanlieferungen wurden geändert</v>
      </c>
      <c r="C89" s="190"/>
      <c r="D89" s="190"/>
      <c r="E89" s="190"/>
      <c r="F89" s="190"/>
      <c r="G89" s="517" t="str">
        <f>IF(NOT(PROZESSTECHNIK_FILLED),"",helper_ERGEBNISSE!$R86)</f>
        <v/>
      </c>
      <c r="H89" s="517"/>
      <c r="I89" s="517"/>
      <c r="J89" s="517"/>
      <c r="K89" s="517"/>
      <c r="L89" s="173" t="str">
        <f>IF(NOT(PROZESSTECHNIK_FILLED),"",helper_ERGEBNISSE!$Q86)</f>
        <v/>
      </c>
    </row>
    <row r="90" spans="1:12" x14ac:dyDescent="0.25">
      <c r="A90" s="181" t="s">
        <v>341</v>
      </c>
      <c r="B90" s="190" t="str">
        <v>Kunde mit einer hohen Priorität ändert das gewünschte Lieferdatum</v>
      </c>
      <c r="C90" s="190"/>
      <c r="D90" s="190"/>
      <c r="E90" s="190"/>
      <c r="F90" s="190"/>
      <c r="G90" s="517" t="str">
        <f>IF(NOT(PROZESSTECHNIK_FILLED),"",helper_ERGEBNISSE!$R87)</f>
        <v/>
      </c>
      <c r="H90" s="517"/>
      <c r="I90" s="517"/>
      <c r="J90" s="517"/>
      <c r="K90" s="517"/>
      <c r="L90" s="173" t="str">
        <f>IF(NOT(PROZESSTECHNIK_FILLED),"",helper_ERGEBNISSE!$Q87)</f>
        <v/>
      </c>
    </row>
    <row r="91" spans="1:12" x14ac:dyDescent="0.25">
      <c r="A91" s="181" t="s">
        <v>342</v>
      </c>
      <c r="B91" s="190" t="str">
        <v>Strom- bzw. Energiepreis ändert sich</v>
      </c>
      <c r="C91" s="190"/>
      <c r="D91" s="190"/>
      <c r="E91" s="190"/>
      <c r="F91" s="190"/>
      <c r="G91" s="517" t="str">
        <f>IF(NOT(PROZESSTECHNIK_FILLED),"",helper_ERGEBNISSE!$R88)</f>
        <v/>
      </c>
      <c r="H91" s="517"/>
      <c r="I91" s="517"/>
      <c r="J91" s="517"/>
      <c r="K91" s="517"/>
      <c r="L91" s="173" t="str">
        <f>IF(NOT(PROZESSTECHNIK_FILLED),"",helper_ERGEBNISSE!$Q88)</f>
        <v/>
      </c>
    </row>
    <row r="92" spans="1:12" x14ac:dyDescent="0.25">
      <c r="A92" s="181" t="s">
        <v>327</v>
      </c>
      <c r="B92" s="519" t="str">
        <f>IF(helper_ERGEBNISSE!$C$89,PROZESSTECHNIK!$C$31,"Keine")</f>
        <v>Keine</v>
      </c>
      <c r="C92" s="519"/>
      <c r="D92" s="519"/>
      <c r="E92" s="519"/>
      <c r="F92" s="519"/>
      <c r="G92" s="517"/>
      <c r="H92" s="517"/>
      <c r="I92" s="517"/>
      <c r="J92" s="517"/>
      <c r="K92" s="517"/>
      <c r="L92" s="182"/>
    </row>
    <row r="93" spans="1:12" ht="15" customHeight="1" x14ac:dyDescent="0.25">
      <c r="A93" s="505" t="s">
        <v>364</v>
      </c>
      <c r="B93" s="506"/>
      <c r="C93" s="506"/>
      <c r="D93" s="506"/>
      <c r="E93" s="506"/>
      <c r="F93" s="506"/>
      <c r="G93" s="506"/>
      <c r="H93" s="506"/>
      <c r="I93" s="506"/>
      <c r="J93" s="506"/>
      <c r="K93" s="506"/>
      <c r="L93" s="146"/>
    </row>
    <row r="94" spans="1:12" ht="15" customHeight="1" x14ac:dyDescent="0.25">
      <c r="A94" s="167" t="s">
        <v>366</v>
      </c>
      <c r="B94" s="89"/>
      <c r="C94" s="89"/>
      <c r="D94" s="89"/>
      <c r="E94" s="89"/>
      <c r="F94" s="89"/>
      <c r="G94" s="89"/>
      <c r="H94" s="89"/>
      <c r="I94" s="89"/>
      <c r="J94" s="89"/>
      <c r="K94" s="89"/>
      <c r="L94" s="179"/>
    </row>
    <row r="95" spans="1:12" ht="15" customHeight="1" x14ac:dyDescent="0.25">
      <c r="A95" s="175" t="s">
        <v>361</v>
      </c>
      <c r="B95" s="517" t="str">
        <f>IF(L$95="Positiv","Es sind aktuell "&amp;helper_ERGEBNISSE!$H$91&amp;" Lastgänge vorhanden. Dies erhöht die Möglichkeit Flexibilisierungspotentiale besser erkennen und heben zu können.","Es sind keine Lastgänge vorhanden.")</f>
        <v>Es sind keine Lastgänge vorhanden.</v>
      </c>
      <c r="C95" s="517"/>
      <c r="D95" s="517"/>
      <c r="E95" s="517"/>
      <c r="F95" s="517"/>
      <c r="G95" s="517"/>
      <c r="H95" s="517"/>
      <c r="I95" s="517"/>
      <c r="J95" s="517"/>
      <c r="K95" s="517"/>
      <c r="L95" s="173" t="str">
        <f>IF(helper_ERGEBNISSE!$H$91&gt;0,"Positiv","Neutral")</f>
        <v>Neutral</v>
      </c>
    </row>
    <row r="96" spans="1:12" x14ac:dyDescent="0.25">
      <c r="A96" s="167" t="s">
        <v>133</v>
      </c>
      <c r="B96" s="89"/>
      <c r="C96" s="89"/>
      <c r="D96" s="89"/>
      <c r="E96" s="89"/>
      <c r="F96" s="89"/>
      <c r="G96" s="89"/>
      <c r="H96" s="89"/>
      <c r="I96" s="89"/>
      <c r="J96" s="89"/>
      <c r="K96" s="89"/>
      <c r="L96" s="179"/>
    </row>
    <row r="97" spans="1:12" ht="33" customHeight="1" x14ac:dyDescent="0.25">
      <c r="A97" s="502" t="str">
        <f>IF(helper_ERGEBNISSE!$C$93,PROZESSTECHNIK!$C$36,"Keine")</f>
        <v>Keine</v>
      </c>
      <c r="B97" s="503"/>
      <c r="C97" s="503"/>
      <c r="D97" s="503"/>
      <c r="E97" s="503"/>
      <c r="F97" s="503"/>
      <c r="G97" s="503"/>
      <c r="H97" s="503"/>
      <c r="I97" s="503"/>
      <c r="J97" s="503"/>
      <c r="K97" s="503"/>
      <c r="L97" s="504"/>
    </row>
    <row r="98" spans="1:12" ht="15" customHeight="1" x14ac:dyDescent="0.25">
      <c r="A98" s="505" t="s">
        <v>363</v>
      </c>
      <c r="B98" s="506"/>
      <c r="C98" s="506"/>
      <c r="D98" s="506"/>
      <c r="E98" s="506"/>
      <c r="F98" s="506"/>
      <c r="G98" s="506"/>
      <c r="H98" s="506"/>
      <c r="I98" s="506"/>
      <c r="J98" s="506"/>
      <c r="K98" s="506"/>
      <c r="L98" s="146"/>
    </row>
    <row r="99" spans="1:12" x14ac:dyDescent="0.25">
      <c r="A99" s="163" t="s">
        <v>55</v>
      </c>
      <c r="B99" s="90"/>
      <c r="C99" s="90"/>
      <c r="D99" s="90"/>
      <c r="E99" s="90"/>
      <c r="F99" s="90"/>
      <c r="G99" s="90"/>
      <c r="H99" s="90"/>
      <c r="I99" s="90"/>
      <c r="J99" s="90"/>
      <c r="K99" s="90"/>
      <c r="L99" s="180">
        <f>DIGITALISIERUNG_FILLED</f>
        <v>0</v>
      </c>
    </row>
    <row r="100" spans="1:12" x14ac:dyDescent="0.25">
      <c r="A100" s="167" t="s">
        <v>2</v>
      </c>
      <c r="B100" s="183"/>
      <c r="C100" s="183"/>
      <c r="D100" s="183"/>
      <c r="E100" s="183"/>
      <c r="F100" s="6"/>
      <c r="G100" s="6"/>
      <c r="H100" s="6"/>
      <c r="I100" s="6"/>
      <c r="J100" s="6"/>
      <c r="K100" s="6"/>
      <c r="L100" s="168"/>
    </row>
    <row r="101" spans="1:12" x14ac:dyDescent="0.25">
      <c r="A101" s="169"/>
      <c r="B101" s="496" t="str">
        <f>IF(ISBLANK(DIGITALISIERUNG!$K$4),"",DIGITALISIERUNG!$K$4)</f>
        <v/>
      </c>
      <c r="C101" s="496"/>
      <c r="D101" s="496"/>
      <c r="E101" s="496"/>
      <c r="G101" s="495" t="str">
        <f>IF(ISBLANK(DIGITALISIERUNG!$K$8),"",DIGITALISIERUNG!$K$8)</f>
        <v/>
      </c>
      <c r="H101" s="495"/>
      <c r="I101" s="495"/>
      <c r="J101" s="495"/>
      <c r="L101" s="170"/>
    </row>
    <row r="102" spans="1:12" x14ac:dyDescent="0.25">
      <c r="A102" s="169"/>
      <c r="B102" s="496" t="str">
        <f>IF(ISBLANK(DIGITALISIERUNG!$K$10),"",DIGITALISIERUNG!$K$10)</f>
        <v/>
      </c>
      <c r="C102" s="496"/>
      <c r="D102" s="496"/>
      <c r="E102" s="496"/>
      <c r="F102" s="184"/>
      <c r="G102" s="495" t="str">
        <f>IF(ISBLANK(DIGITALISIERUNG!$K$6),"",DIGITALISIERUNG!$K$6)</f>
        <v/>
      </c>
      <c r="H102" s="495"/>
      <c r="I102" s="495"/>
      <c r="J102" s="495"/>
      <c r="L102" s="170"/>
    </row>
    <row r="103" spans="1:12" x14ac:dyDescent="0.25">
      <c r="A103" s="167" t="s">
        <v>57</v>
      </c>
      <c r="B103" s="89"/>
      <c r="C103" s="89"/>
      <c r="D103" s="89"/>
      <c r="E103" s="89"/>
      <c r="F103" s="89"/>
      <c r="G103" s="89"/>
      <c r="H103" s="89"/>
      <c r="I103" s="89"/>
      <c r="J103" s="89"/>
      <c r="K103" s="89"/>
      <c r="L103" s="179"/>
    </row>
    <row r="104" spans="1:12" x14ac:dyDescent="0.25">
      <c r="A104" s="493" t="s">
        <v>354</v>
      </c>
      <c r="B104" s="494"/>
      <c r="C104" s="494"/>
      <c r="D104" s="515" t="s">
        <v>369</v>
      </c>
      <c r="E104" s="515"/>
      <c r="F104" s="515"/>
      <c r="G104" s="516" t="s">
        <v>355</v>
      </c>
      <c r="H104" s="516"/>
      <c r="I104" s="516"/>
      <c r="J104" s="494" t="s">
        <v>359</v>
      </c>
      <c r="K104" s="494"/>
      <c r="L104" s="511"/>
    </row>
    <row r="105" spans="1:12" x14ac:dyDescent="0.25">
      <c r="A105" s="500" t="str">
        <f>IF(OR(NOT(DIGITALISIERUNG_FILLED),helper_ERGEBNISSE!$G97=helper_ERGEBNISSE!$D97),IF(DIGITALISIERUNG_FILLED,"Keine "&amp;helper_ERGEBNISSE!$A97&amp;" verfügbar",helper_ERGEBNISSE!$A97),"")</f>
        <v>Daten des Energieverbrauchs</v>
      </c>
      <c r="B105" s="491"/>
      <c r="C105" s="491"/>
      <c r="D105" s="514" t="str">
        <f>IF(AND(DIGITALISIERUNG_FILLED,helper_ERGEBNISSE!$G97&gt;helper_ERGEBNISSE!$D97,helper_ERGEBNISSE!$G97&lt;helper_ERGEBNISSE!$E97),helper_ERGEBNISSE!$A97&amp;" sind verfügbar","")</f>
        <v/>
      </c>
      <c r="E105" s="514"/>
      <c r="F105" s="514"/>
      <c r="G105" s="501" t="str">
        <f>IF(AND(DIGITALISIERUNG_FILLED,helper_ERGEBNISSE!$G97=helper_ERGEBNISSE!$E97),helper_ERGEBNISSE!$A97&amp;" sind verfügbar","")</f>
        <v/>
      </c>
      <c r="H105" s="501"/>
      <c r="I105" s="501"/>
      <c r="J105" s="491" t="str">
        <f>_xlfn.TEXTJOIN(" / ", TRUE,IF(AND(DIGITALISIERUNG_FILLED,helper_DIGITALISIERUNG!$C5=3),"Teilweise vorhanden",""),IF(AND(DIGITALISIERUNG_FILLED,helper_DIGITALISIERUNG!$E5),"Weitergabe möglich",""))</f>
        <v/>
      </c>
      <c r="K105" s="491"/>
      <c r="L105" s="492"/>
    </row>
    <row r="106" spans="1:12" x14ac:dyDescent="0.25">
      <c r="A106" s="500" t="str">
        <f>IF(OR(NOT(DIGITALISIERUNG_FILLED),helper_ERGEBNISSE!$G98=helper_ERGEBNISSE!$D98),IF(DIGITALISIERUNG_FILLED,"Keine "&amp;helper_ERGEBNISSE!$A98&amp;" verfügbar",helper_ERGEBNISSE!$A98),"")</f>
        <v>Digitale Energieverbrauchsdaten</v>
      </c>
      <c r="B106" s="491"/>
      <c r="C106" s="491"/>
      <c r="D106" s="514" t="str">
        <f>IF(AND(DIGITALISIERUNG_FILLED,helper_ERGEBNISSE!$G98&gt;helper_ERGEBNISSE!$D98,helper_ERGEBNISSE!$G98&lt;helper_ERGEBNISSE!$E98),helper_ERGEBNISSE!$A98&amp;" sind verfügbar","")</f>
        <v/>
      </c>
      <c r="E106" s="514"/>
      <c r="F106" s="514"/>
      <c r="G106" s="501" t="str">
        <f>IF(AND(DIGITALISIERUNG_FILLED,helper_ERGEBNISSE!$G98=helper_ERGEBNISSE!$E98),helper_ERGEBNISSE!$A98&amp;" sind verfügbar","")</f>
        <v/>
      </c>
      <c r="H106" s="501"/>
      <c r="I106" s="501"/>
      <c r="J106" s="491" t="str">
        <f>_xlfn.TEXTJOIN(" / ", TRUE,IF(AND(DIGITALISIERUNG_FILLED,helper_DIGITALISIERUNG!$C6=3),"Teilweise",""),IF(AND(DIGITALISIERUNG_FILLED,helper_DIGITALISIERUNG!$E6),"Weitergabe möglich",""))</f>
        <v/>
      </c>
      <c r="K106" s="491"/>
      <c r="L106" s="492"/>
    </row>
    <row r="107" spans="1:12" x14ac:dyDescent="0.25">
      <c r="A107" s="500" t="str">
        <f>IF(OR(NOT(DIGITALISIERUNG_FILLED),helper_ERGEBNISSE!$G99=helper_ERGEBNISSE!$D99),IF(DIGITALISIERUNG_FILLED,"Keine "&amp;helper_ERGEBNISSE!$A99&amp;" verfügbar",helper_ERGEBNISSE!$A99),"")</f>
        <v>Daten der Energieaufbringung</v>
      </c>
      <c r="B107" s="491"/>
      <c r="C107" s="491"/>
      <c r="D107" s="514" t="str">
        <f>IF(AND(DIGITALISIERUNG_FILLED,helper_ERGEBNISSE!$G99&gt;helper_ERGEBNISSE!$D99,helper_ERGEBNISSE!$G99&lt;helper_ERGEBNISSE!$E99),helper_ERGEBNISSE!$A99&amp;" sind verfügbar","")</f>
        <v/>
      </c>
      <c r="E107" s="514"/>
      <c r="F107" s="514"/>
      <c r="G107" s="501" t="str">
        <f>IF(AND(DIGITALISIERUNG_FILLED,helper_ERGEBNISSE!$G99=helper_ERGEBNISSE!$E99),helper_ERGEBNISSE!$A99&amp;" sind verfügbar","")</f>
        <v/>
      </c>
      <c r="H107" s="501"/>
      <c r="I107" s="501"/>
      <c r="J107" s="491" t="str">
        <f>_xlfn.TEXTJOIN(" / ", TRUE,IF(AND(DIGITALISIERUNG_FILLED,helper_DIGITALISIERUNG!$C7=3),"Teilweise vorhanden",""),IF(AND(DIGITALISIERUNG_FILLED,helper_DIGITALISIERUNG!$E7),"Weitergabe möglich",""))</f>
        <v/>
      </c>
      <c r="K107" s="491"/>
      <c r="L107" s="492"/>
    </row>
    <row r="108" spans="1:12" x14ac:dyDescent="0.25">
      <c r="A108" s="500" t="str">
        <f>IF(OR(NOT(DIGITALISIERUNG_FILLED),helper_ERGEBNISSE!$G100=helper_ERGEBNISSE!$D100),IF(DIGITALISIERUNG_FILLED,"Keine "&amp;helper_ERGEBNISSE!$A100&amp;" verfügbar",helper_ERGEBNISSE!$A100),"")</f>
        <v>Digitale Energieaufbringungsdaten</v>
      </c>
      <c r="B108" s="491"/>
      <c r="C108" s="491"/>
      <c r="D108" s="514" t="str">
        <f>IF(AND(DIGITALISIERUNG_FILLED,helper_ERGEBNISSE!$G100&gt;helper_ERGEBNISSE!$D100,helper_ERGEBNISSE!$G100&lt;helper_ERGEBNISSE!$E100),helper_ERGEBNISSE!$A100&amp;" sind verfügbar","")</f>
        <v/>
      </c>
      <c r="E108" s="514"/>
      <c r="F108" s="514"/>
      <c r="G108" s="501" t="str">
        <f>IF(AND(DIGITALISIERUNG_FILLED,helper_ERGEBNISSE!$G100=helper_ERGEBNISSE!$E100),helper_ERGEBNISSE!$A100&amp;" sind verfügbar","")</f>
        <v/>
      </c>
      <c r="H108" s="501"/>
      <c r="I108" s="501"/>
      <c r="J108" s="491" t="str">
        <f>_xlfn.TEXTJOIN(" / ", TRUE,IF(AND(DIGITALISIERUNG_FILLED,helper_DIGITALISIERUNG!$C8=3),"Teilweise",""),IF(AND(DIGITALISIERUNG_FILLED,helper_DIGITALISIERUNG!$E8),"Weitergabe möglich",""))</f>
        <v/>
      </c>
      <c r="K108" s="491"/>
      <c r="L108" s="492"/>
    </row>
    <row r="109" spans="1:12" x14ac:dyDescent="0.25">
      <c r="A109" s="500" t="str">
        <f>IF(OR(NOT(DIGITALISIERUNG_FILLED),helper_ERGEBNISSE!$G101=helper_ERGEBNISSE!$D101),IF(DIGITALISIERUNG_FILLED,"Keine "&amp;helper_ERGEBNISSE!$A101&amp;" verfügbar",helper_ERGEBNISSE!$A101),"")</f>
        <v>Daten der Produktion</v>
      </c>
      <c r="B109" s="491"/>
      <c r="C109" s="491"/>
      <c r="D109" s="514" t="str">
        <f>IF(AND(DIGITALISIERUNG_FILLED,helper_ERGEBNISSE!$G101&gt;helper_ERGEBNISSE!$D101,helper_ERGEBNISSE!$G101&lt;helper_ERGEBNISSE!$E101),helper_ERGEBNISSE!$A101&amp;" sind verfügbar","")</f>
        <v/>
      </c>
      <c r="E109" s="514"/>
      <c r="F109" s="514"/>
      <c r="G109" s="501" t="str">
        <f>IF(AND(DIGITALISIERUNG_FILLED,helper_ERGEBNISSE!$G101=helper_ERGEBNISSE!$E101),helper_ERGEBNISSE!$A101&amp;" sind verfügbar","")</f>
        <v/>
      </c>
      <c r="H109" s="501"/>
      <c r="I109" s="501"/>
      <c r="J109" s="491" t="str">
        <f>_xlfn.TEXTJOIN(" / ", TRUE,IF(AND(DIGITALISIERUNG_FILLED,helper_DIGITALISIERUNG!$C9=3),"Teilweise vorhanden",""),IF(AND(DIGITALISIERUNG_FILLED,helper_DIGITALISIERUNG!$E9),"Weitergabe möglich",""))</f>
        <v/>
      </c>
      <c r="K109" s="491"/>
      <c r="L109" s="492"/>
    </row>
    <row r="110" spans="1:12" x14ac:dyDescent="0.25">
      <c r="A110" s="500" t="str">
        <f>IF(OR(NOT(DIGITALISIERUNG_FILLED),helper_ERGEBNISSE!$G102=helper_ERGEBNISSE!$D102),IF(DIGITALISIERUNG_FILLED,"Keine "&amp;helper_ERGEBNISSE!$A102&amp;" verfügbar",helper_ERGEBNISSE!$A102),"")</f>
        <v>Digitale Produktionsdaten</v>
      </c>
      <c r="B110" s="491"/>
      <c r="C110" s="491"/>
      <c r="D110" s="514" t="str">
        <f>IF(AND(DIGITALISIERUNG_FILLED,helper_ERGEBNISSE!$G102&gt;helper_ERGEBNISSE!$D102,helper_ERGEBNISSE!$G102&lt;helper_ERGEBNISSE!$E102),helper_ERGEBNISSE!$A102&amp;" sind verfügbar","")</f>
        <v/>
      </c>
      <c r="E110" s="514"/>
      <c r="F110" s="514"/>
      <c r="G110" s="501" t="str">
        <f>IF(AND(DIGITALISIERUNG_FILLED,helper_ERGEBNISSE!$G102=helper_ERGEBNISSE!$E102),helper_ERGEBNISSE!$A102&amp;" sind verfügbar","")</f>
        <v/>
      </c>
      <c r="H110" s="501"/>
      <c r="I110" s="501"/>
      <c r="J110" s="491" t="str">
        <f>_xlfn.TEXTJOIN(" / ", TRUE,IF(AND(DIGITALISIERUNG_FILLED,helper_DIGITALISIERUNG!$C10=3),"Teilweise",""),IF(AND(DIGITALISIERUNG_FILLED,helper_DIGITALISIERUNG!$E10),"Weitergabe möglich",""))</f>
        <v/>
      </c>
      <c r="K110" s="491"/>
      <c r="L110" s="492"/>
    </row>
    <row r="111" spans="1:12" x14ac:dyDescent="0.25">
      <c r="A111" s="500" t="str">
        <f>IF(OR(NOT(DIGITALISIERUNG_FILLED),helper_ERGEBNISSE!$G103=helper_ERGEBNISSE!$D103),IF(DIGITALISIERUNG_FILLED,helper_ERGEBNISSE!$A103&amp;" ist nicht möglich",helper_ERGEBNISSE!$A103),"")</f>
        <v>Live-Zugriff auf Verbrauchsdaten</v>
      </c>
      <c r="B111" s="491"/>
      <c r="C111" s="491"/>
      <c r="D111" s="514" t="str">
        <f>IF(AND(DIGITALISIERUNG_FILLED,helper_ERGEBNISSE!$G103&gt;helper_ERGEBNISSE!$D103,helper_ERGEBNISSE!$G103&lt;helper_ERGEBNISSE!$E103),helper_ERGEBNISSE!$A103&amp;" ist möglich","")</f>
        <v/>
      </c>
      <c r="E111" s="514"/>
      <c r="F111" s="514"/>
      <c r="G111" s="501" t="str">
        <f>IF(AND(DIGITALISIERUNG_FILLED,helper_ERGEBNISSE!$G103=helper_ERGEBNISSE!$E103),helper_ERGEBNISSE!$A103&amp;" ist möglich","")</f>
        <v/>
      </c>
      <c r="H111" s="501"/>
      <c r="I111" s="501"/>
      <c r="J111" s="491" t="str">
        <f>_xlfn.TEXTJOIN(" / ", TRUE,IF(AND(DIGITALISIERUNG_FILLED,helper_DIGITALISIERUNG!$C11=3),"Teilweise möglich",""),IF(AND(DIGITALISIERUNG_FILLED,helper_DIGITALISIERUNG!$E11),"Außenzugriff möglich",""))</f>
        <v/>
      </c>
      <c r="K111" s="491"/>
      <c r="L111" s="492"/>
    </row>
    <row r="112" spans="1:12" x14ac:dyDescent="0.25">
      <c r="A112" s="500" t="str">
        <f>IF(OR(NOT(DIGITALISIERUNG_FILLED),helper_ERGEBNISSE!$G104=helper_ERGEBNISSE!$D104),IF(DIGITALISIERUNG_FILLED,helper_ERGEBNISSE!$A104&amp;" ist nicht möglich",helper_ERGEBNISSE!$A104),"")</f>
        <v>Live-Zugriff auf Aufbringungsdaten</v>
      </c>
      <c r="B112" s="491"/>
      <c r="C112" s="491"/>
      <c r="D112" s="514" t="str">
        <f>IF(AND(DIGITALISIERUNG_FILLED,helper_ERGEBNISSE!$G104&gt;helper_ERGEBNISSE!$D104,helper_ERGEBNISSE!$G104&lt;helper_ERGEBNISSE!$E104),helper_ERGEBNISSE!$A104&amp;" ist möglich","")</f>
        <v/>
      </c>
      <c r="E112" s="514"/>
      <c r="F112" s="514"/>
      <c r="G112" s="501" t="str">
        <f>IF(AND(DIGITALISIERUNG_FILLED,helper_ERGEBNISSE!$G104=helper_ERGEBNISSE!$E104),helper_ERGEBNISSE!$A104&amp;" ist möglich","")</f>
        <v/>
      </c>
      <c r="H112" s="501"/>
      <c r="I112" s="501"/>
      <c r="J112" s="491" t="str">
        <f>_xlfn.TEXTJOIN(" / ", TRUE,IF(AND(DIGITALISIERUNG_FILLED,helper_DIGITALISIERUNG!$C12=3),"Teilweise möglich",""),IF(AND(DIGITALISIERUNG_FILLED,helper_DIGITALISIERUNG!$E12),"Außenzugriff möglich",""))</f>
        <v/>
      </c>
      <c r="K112" s="491"/>
      <c r="L112" s="492"/>
    </row>
    <row r="113" spans="1:12" x14ac:dyDescent="0.25">
      <c r="A113" s="500" t="str">
        <f>IF(OR(NOT(DIGITALISIERUNG_FILLED),helper_ERGEBNISSE!$G105=helper_ERGEBNISSE!$D105),IF(DIGITALISIERUNG_FILLED,helper_ERGEBNISSE!$A105&amp;" ist nicht möglich",helper_ERGEBNISSE!$A105),"")</f>
        <v>Live-Zugriff auf Produktionsdaten</v>
      </c>
      <c r="B113" s="491"/>
      <c r="C113" s="491"/>
      <c r="D113" s="514" t="str">
        <f>IF(AND(DIGITALISIERUNG_FILLED,helper_ERGEBNISSE!$G105&gt;helper_ERGEBNISSE!$D105,helper_ERGEBNISSE!$G105&lt;helper_ERGEBNISSE!$E105),helper_ERGEBNISSE!$A105&amp;" ist möglich","")</f>
        <v/>
      </c>
      <c r="E113" s="514"/>
      <c r="F113" s="514"/>
      <c r="G113" s="501" t="str">
        <f>IF(AND(DIGITALISIERUNG_FILLED,helper_ERGEBNISSE!$G105=helper_ERGEBNISSE!$E105),helper_ERGEBNISSE!$A105&amp;" ist möglich","")</f>
        <v/>
      </c>
      <c r="H113" s="501"/>
      <c r="I113" s="501"/>
      <c r="J113" s="491" t="str">
        <f>_xlfn.TEXTJOIN(" / ", TRUE,IF(AND(DIGITALISIERUNG_FILLED,helper_DIGITALISIERUNG!$C13=3),"Teilweise möglich",""),IF(AND(DIGITALISIERUNG_FILLED,helper_DIGITALISIERUNG!$E13),"Außenzugriff möglich",""))</f>
        <v/>
      </c>
      <c r="K113" s="491"/>
      <c r="L113" s="492"/>
    </row>
    <row r="114" spans="1:12" x14ac:dyDescent="0.25">
      <c r="A114" s="500" t="str">
        <f>IF(OR(NOT(DIGITALISIERUNG_FILLED),helper_ERGEBNISSE!$G106=helper_ERGEBNISSE!$D106),IF(DIGITALISIERUNG_FILLED,helper_ERGEBNISSE!$A106&amp;" ist nicht vorhanden",helper_ERGEBNISSE!$A106),"")</f>
        <v>Energie-Management System</v>
      </c>
      <c r="B114" s="491"/>
      <c r="C114" s="491"/>
      <c r="D114" s="514" t="str">
        <f>IF(AND(DIGITALISIERUNG_FILLED,helper_ERGEBNISSE!$G106&gt;helper_ERGEBNISSE!$D106,helper_ERGEBNISSE!$G106&lt;helper_ERGEBNISSE!$E106),helper_ERGEBNISSE!$A106&amp;" ist nicht vorhanden","")</f>
        <v/>
      </c>
      <c r="E114" s="514"/>
      <c r="F114" s="514"/>
      <c r="G114" s="501" t="str">
        <f>IF(AND(DIGITALISIERUNG_FILLED,helper_ERGEBNISSE!$G106=helper_ERGEBNISSE!$E106),helper_ERGEBNISSE!$A106&amp;" ist integriert/aktiv","")</f>
        <v/>
      </c>
      <c r="H114" s="501"/>
      <c r="I114" s="501"/>
      <c r="J114" s="491" t="str">
        <f>IF(AND(DIGITALISIERUNG_FILLED,helper_DIGITALISIERUNG!$E14),"Implementierung wäre denkbar","")</f>
        <v/>
      </c>
      <c r="K114" s="491"/>
      <c r="L114" s="492"/>
    </row>
    <row r="115" spans="1:12" ht="30" customHeight="1" x14ac:dyDescent="0.25">
      <c r="A115" s="525" t="str">
        <f>DIGITALISIERUNG!$B$27</f>
        <v>Wie sieht die restliche digitale Infrastruktur aus?
Kurze Beschreibung der Digitalisierungsmaßnahmen die in ihrem Betrieb umgesetzt werden.</v>
      </c>
      <c r="B115" s="526"/>
      <c r="C115" s="526"/>
      <c r="D115" s="526"/>
      <c r="E115" s="526"/>
      <c r="F115" s="526"/>
      <c r="G115" s="526"/>
      <c r="H115" s="526"/>
      <c r="I115" s="526"/>
      <c r="J115" s="526"/>
      <c r="K115" s="526"/>
      <c r="L115" s="527"/>
    </row>
    <row r="116" spans="1:12" ht="33" customHeight="1" x14ac:dyDescent="0.25">
      <c r="A116" s="502" t="str">
        <f>IF(helper_ERGEBNISSE!$C$107,DIGITALISIERUNG!$B$28,"Keine")</f>
        <v>Keine</v>
      </c>
      <c r="B116" s="503"/>
      <c r="C116" s="503"/>
      <c r="D116" s="503"/>
      <c r="E116" s="503"/>
      <c r="F116" s="503"/>
      <c r="G116" s="503"/>
      <c r="H116" s="503"/>
      <c r="I116" s="503"/>
      <c r="J116" s="503"/>
      <c r="K116" s="503"/>
      <c r="L116" s="504"/>
    </row>
    <row r="117" spans="1:12" ht="15" customHeight="1" x14ac:dyDescent="0.25">
      <c r="A117" s="505" t="s">
        <v>363</v>
      </c>
      <c r="B117" s="506"/>
      <c r="C117" s="506"/>
      <c r="D117" s="506"/>
      <c r="E117" s="506"/>
      <c r="F117" s="506"/>
      <c r="G117" s="506"/>
      <c r="H117" s="506"/>
      <c r="I117" s="506"/>
      <c r="J117" s="506"/>
      <c r="K117" s="506"/>
      <c r="L117" s="146"/>
    </row>
    <row r="118" spans="1:12" x14ac:dyDescent="0.25">
      <c r="A118" s="167" t="s">
        <v>344</v>
      </c>
      <c r="B118" s="89"/>
      <c r="C118" s="89"/>
      <c r="D118" s="89"/>
      <c r="E118" s="89"/>
      <c r="F118" s="89"/>
      <c r="G118" s="89"/>
      <c r="H118" s="89"/>
      <c r="I118" s="89"/>
      <c r="J118" s="89"/>
      <c r="K118" s="89"/>
      <c r="L118" s="179"/>
    </row>
    <row r="119" spans="1:12" ht="33" customHeight="1" x14ac:dyDescent="0.25">
      <c r="A119" s="502" t="str">
        <f>IF(helper_ERGEBNISSE!$C$109,DIGITALISIERUNG!$C$31,"Keine")</f>
        <v>Keine</v>
      </c>
      <c r="B119" s="503"/>
      <c r="C119" s="503"/>
      <c r="D119" s="503"/>
      <c r="E119" s="503"/>
      <c r="F119" s="503"/>
      <c r="G119" s="503"/>
      <c r="H119" s="503"/>
      <c r="I119" s="503"/>
      <c r="J119" s="503"/>
      <c r="K119" s="503"/>
      <c r="L119" s="504"/>
    </row>
    <row r="120" spans="1:12" ht="15" customHeight="1" x14ac:dyDescent="0.25">
      <c r="A120" s="505" t="s">
        <v>363</v>
      </c>
      <c r="B120" s="506"/>
      <c r="C120" s="506"/>
      <c r="D120" s="506"/>
      <c r="E120" s="506"/>
      <c r="F120" s="506"/>
      <c r="G120" s="506"/>
      <c r="H120" s="506"/>
      <c r="I120" s="506"/>
      <c r="J120" s="506"/>
      <c r="K120" s="506"/>
      <c r="L120" s="146"/>
    </row>
    <row r="121" spans="1:12" x14ac:dyDescent="0.25">
      <c r="A121" s="163" t="s">
        <v>58</v>
      </c>
      <c r="B121" s="90"/>
      <c r="C121" s="90"/>
      <c r="D121" s="90"/>
      <c r="E121" s="90"/>
      <c r="F121" s="90"/>
      <c r="G121" s="90"/>
      <c r="H121" s="90"/>
      <c r="I121" s="90"/>
      <c r="J121" s="90"/>
      <c r="K121" s="90"/>
      <c r="L121" s="180">
        <f>FLEXIBILISIERUNG_FILLED</f>
        <v>0</v>
      </c>
    </row>
    <row r="122" spans="1:12" x14ac:dyDescent="0.25">
      <c r="A122" s="167" t="s">
        <v>2</v>
      </c>
      <c r="B122" s="183"/>
      <c r="C122" s="183"/>
      <c r="D122" s="183"/>
      <c r="E122" s="183"/>
      <c r="F122" s="6"/>
      <c r="G122" s="6"/>
      <c r="H122" s="6"/>
      <c r="I122" s="6"/>
      <c r="J122" s="6"/>
      <c r="K122" s="6"/>
      <c r="L122" s="168"/>
    </row>
    <row r="123" spans="1:12" x14ac:dyDescent="0.25">
      <c r="A123" s="169"/>
      <c r="B123" s="496" t="str">
        <f>IF(ISBLANK(FLEXIBILISIERUNG!$K$3),"",FLEXIBILISIERUNG!$K$3)</f>
        <v/>
      </c>
      <c r="C123" s="496"/>
      <c r="D123" s="496"/>
      <c r="E123" s="496"/>
      <c r="G123" s="495" t="str">
        <f>IF(ISBLANK(FLEXIBILISIERUNG!$K$7),"",FLEXIBILISIERUNG!$K$7)</f>
        <v/>
      </c>
      <c r="H123" s="495"/>
      <c r="I123" s="495"/>
      <c r="J123" s="495"/>
      <c r="L123" s="170"/>
    </row>
    <row r="124" spans="1:12" x14ac:dyDescent="0.25">
      <c r="A124" s="169"/>
      <c r="B124" s="496" t="str">
        <f>IF(ISBLANK(FLEXIBILISIERUNG!$K$9),"",FLEXIBILISIERUNG!$K$9)</f>
        <v/>
      </c>
      <c r="C124" s="496"/>
      <c r="D124" s="496"/>
      <c r="E124" s="496"/>
      <c r="F124" s="184"/>
      <c r="G124" s="495" t="str">
        <f>IF(ISBLANK(FLEXIBILISIERUNG!$K$5),"",FLEXIBILISIERUNG!$K$5)</f>
        <v/>
      </c>
      <c r="H124" s="495"/>
      <c r="I124" s="495"/>
      <c r="J124" s="495"/>
      <c r="L124" s="170"/>
    </row>
    <row r="125" spans="1:12" x14ac:dyDescent="0.25">
      <c r="A125" s="167" t="s">
        <v>60</v>
      </c>
      <c r="B125" s="89"/>
      <c r="C125" s="89"/>
      <c r="D125" s="89"/>
      <c r="E125" s="89"/>
      <c r="F125" s="89"/>
      <c r="G125" s="89"/>
      <c r="H125" s="89"/>
      <c r="I125" s="89"/>
      <c r="J125" s="89"/>
      <c r="K125" s="89"/>
      <c r="L125" s="179"/>
    </row>
    <row r="126" spans="1:12" x14ac:dyDescent="0.25">
      <c r="A126" s="493" t="s">
        <v>354</v>
      </c>
      <c r="B126" s="494"/>
      <c r="C126" s="494"/>
      <c r="D126" s="515" t="s">
        <v>369</v>
      </c>
      <c r="E126" s="515"/>
      <c r="F126" s="515"/>
      <c r="G126" s="516" t="s">
        <v>355</v>
      </c>
      <c r="H126" s="516"/>
      <c r="I126" s="516"/>
      <c r="J126" s="494" t="s">
        <v>359</v>
      </c>
      <c r="K126" s="494"/>
      <c r="L126" s="511"/>
    </row>
    <row r="127" spans="1:12" x14ac:dyDescent="0.25">
      <c r="A127" s="500" t="str">
        <f>IF(NOT(FLEXIBILISIERUNG_FILLED),helper_ERGEBNISSE!$A113,IF(helper_ERGEBNISSE!$G113=helper_ERGEBNISSE!$D113,helper_ERGEBNISSE!$A113&amp;" sind nicht denkbar",""))</f>
        <v>Alternative Energietechnologien</v>
      </c>
      <c r="B127" s="491"/>
      <c r="C127" s="491"/>
      <c r="D127" s="514" t="str">
        <f>IF(AND(FLEXIBILISIERUNG_FILLED,helper_ERGEBNISSE!$G113&gt;helper_ERGEBNISSE!$D113,helper_ERGEBNISSE!$G113&lt;helper_ERGEBNISSE!$E113),helper_ERGEBNISSE!$A113&amp;" wären möglich","")</f>
        <v/>
      </c>
      <c r="E127" s="514"/>
      <c r="F127" s="514"/>
      <c r="G127" s="501" t="str">
        <f>IF(AND(FLEXIBILISIERUNG_FILLED,helper_ERGEBNISSE!$G113=helper_ERGEBNISSE!$E113),helper_ERGEBNISSE!$A113&amp;" sind möglich","")</f>
        <v/>
      </c>
      <c r="H127" s="501"/>
      <c r="I127" s="501"/>
      <c r="J127" s="491" t="str">
        <f>IF(AND(FLEXIBILISIERUNG_FILLED,helper_FLEXIBILISIERUNG!$D5),"Begründung: "&amp;FLEXIBILISIERUNG!$N16,"")</f>
        <v/>
      </c>
      <c r="K127" s="491"/>
      <c r="L127" s="492"/>
    </row>
    <row r="128" spans="1:12" x14ac:dyDescent="0.25">
      <c r="A128" s="500" t="str">
        <f>IF(NOT(FLEXIBILISIERUNG_FILLED),helper_ERGEBNISSE!$A114,IF(helper_ERGEBNISSE!$G114=helper_ERGEBNISSE!$D114,helper_ERGEBNISSE!$A114&amp;" sind nicht denkbar",""))</f>
        <v>Energiespeichertechnologien</v>
      </c>
      <c r="B128" s="491"/>
      <c r="C128" s="491"/>
      <c r="D128" s="514" t="str">
        <f>IF(AND(FLEXIBILISIERUNG_FILLED,helper_ERGEBNISSE!$G114&gt;helper_ERGEBNISSE!$D114,helper_ERGEBNISSE!$G114&lt;helper_ERGEBNISSE!$E114),helper_ERGEBNISSE!$A114&amp;" wären möglich","")</f>
        <v/>
      </c>
      <c r="E128" s="514"/>
      <c r="F128" s="514"/>
      <c r="G128" s="501" t="str">
        <f>IF(AND(FLEXIBILISIERUNG_FILLED,helper_ERGEBNISSE!$G114=helper_ERGEBNISSE!$E114),helper_ERGEBNISSE!$A114&amp;" sind möglich","")</f>
        <v/>
      </c>
      <c r="H128" s="501"/>
      <c r="I128" s="501"/>
      <c r="J128" s="491" t="str">
        <f>IF(AND(FLEXIBILISIERUNG_FILLED,helper_FLEXIBILISIERUNG!$D6),"Begründung: "&amp;FLEXIBILISIERUNG!$N18,"")</f>
        <v/>
      </c>
      <c r="K128" s="491"/>
      <c r="L128" s="492"/>
    </row>
    <row r="129" spans="1:12" x14ac:dyDescent="0.25">
      <c r="A129" s="500" t="str">
        <f>IF(NOT(FLEXIBILISIERUNG_FILLED),helper_ERGEBNISSE!$A115,IF(helper_ERGEBNISSE!$G115=helper_ERGEBNISSE!$D115,helper_ERGEBNISSE!$A115&amp;" sind nicht denkbar",""))</f>
        <v>Weitere Materiallager/-speicher</v>
      </c>
      <c r="B129" s="491"/>
      <c r="C129" s="491"/>
      <c r="D129" s="514" t="str">
        <f>IF(AND(FLEXIBILISIERUNG_FILLED,helper_ERGEBNISSE!$G115&gt;helper_ERGEBNISSE!$D115,helper_ERGEBNISSE!$G115&lt;helper_ERGEBNISSE!$E115),helper_ERGEBNISSE!$A115&amp;" wären möglich","")</f>
        <v/>
      </c>
      <c r="E129" s="514"/>
      <c r="F129" s="514"/>
      <c r="G129" s="501" t="str">
        <f>IF(AND(FLEXIBILISIERUNG_FILLED,helper_ERGEBNISSE!$G115=helper_ERGEBNISSE!$E115),helper_ERGEBNISSE!$A115&amp;" sind möglich","")</f>
        <v/>
      </c>
      <c r="H129" s="501"/>
      <c r="I129" s="501"/>
      <c r="J129" s="491" t="str">
        <f>IF(AND(FLEXIBILISIERUNG_FILLED,helper_FLEXIBILISIERUNG!$D7),"Begründung: "&amp;FLEXIBILISIERUNG!$N20,"")</f>
        <v/>
      </c>
      <c r="K129" s="491"/>
      <c r="L129" s="492"/>
    </row>
    <row r="130" spans="1:12" ht="30" customHeight="1" x14ac:dyDescent="0.25">
      <c r="A130" s="525" t="str">
        <f>FLEXIBILISIERUNG!$B$21</f>
        <v>Sind weitere betriebliche Flexibilisierungsmaßnahmen in ihrem Betrieb denkbar?
Kurzes Statement zur möglichen Einführung/Änderung von Schichtbetrieben, Betriebsurlaubszeiten, Lieferzeiten, Anlieferungen, usw…</v>
      </c>
      <c r="B130" s="526"/>
      <c r="C130" s="526"/>
      <c r="D130" s="526"/>
      <c r="E130" s="526"/>
      <c r="F130" s="526"/>
      <c r="G130" s="526"/>
      <c r="H130" s="526"/>
      <c r="I130" s="526"/>
      <c r="J130" s="526"/>
      <c r="K130" s="526"/>
      <c r="L130" s="527"/>
    </row>
    <row r="131" spans="1:12" ht="33" customHeight="1" x14ac:dyDescent="0.25">
      <c r="A131" s="502" t="str">
        <f>IF(helper_ERGEBNISSE!$C$116,FLEXIBILISIERUNG!$B$22,"Keine")</f>
        <v>Keine</v>
      </c>
      <c r="B131" s="503"/>
      <c r="C131" s="503"/>
      <c r="D131" s="503"/>
      <c r="E131" s="503"/>
      <c r="F131" s="503"/>
      <c r="G131" s="503"/>
      <c r="H131" s="503"/>
      <c r="I131" s="503"/>
      <c r="J131" s="503"/>
      <c r="K131" s="503"/>
      <c r="L131" s="504"/>
    </row>
    <row r="132" spans="1:12" ht="15" customHeight="1" x14ac:dyDescent="0.25">
      <c r="A132" s="505" t="s">
        <v>363</v>
      </c>
      <c r="B132" s="506"/>
      <c r="C132" s="506"/>
      <c r="D132" s="506"/>
      <c r="E132" s="506"/>
      <c r="F132" s="506"/>
      <c r="G132" s="506"/>
      <c r="H132" s="506"/>
      <c r="I132" s="506"/>
      <c r="J132" s="506"/>
      <c r="K132" s="506"/>
      <c r="L132" s="146"/>
    </row>
    <row r="133" spans="1:12" x14ac:dyDescent="0.25">
      <c r="A133" s="167" t="s">
        <v>259</v>
      </c>
      <c r="B133" s="89"/>
      <c r="C133" s="89"/>
      <c r="D133" s="89"/>
      <c r="E133" s="89"/>
      <c r="F133" s="89"/>
      <c r="G133" s="89"/>
      <c r="H133" s="89"/>
      <c r="I133" s="89"/>
      <c r="J133" s="89"/>
      <c r="K133" s="89"/>
      <c r="L133" s="179"/>
    </row>
    <row r="134" spans="1:12" ht="33" customHeight="1" x14ac:dyDescent="0.25">
      <c r="A134" s="502" t="str">
        <f>IF(helper_ERGEBNISSE!$C$118,FLEXIBILISIERUNG!$C$25,"Keine")</f>
        <v>Keine</v>
      </c>
      <c r="B134" s="503"/>
      <c r="C134" s="503"/>
      <c r="D134" s="503"/>
      <c r="E134" s="503"/>
      <c r="F134" s="503"/>
      <c r="G134" s="503"/>
      <c r="H134" s="503"/>
      <c r="I134" s="503"/>
      <c r="J134" s="503"/>
      <c r="K134" s="503"/>
      <c r="L134" s="504"/>
    </row>
    <row r="135" spans="1:12" ht="15" customHeight="1" x14ac:dyDescent="0.25">
      <c r="A135" s="537" t="s">
        <v>363</v>
      </c>
      <c r="B135" s="538"/>
      <c r="C135" s="538"/>
      <c r="D135" s="538"/>
      <c r="E135" s="538"/>
      <c r="F135" s="538"/>
      <c r="G135" s="538"/>
      <c r="H135" s="538"/>
      <c r="I135" s="538"/>
      <c r="J135" s="538"/>
      <c r="K135" s="538"/>
      <c r="L135" s="147"/>
    </row>
    <row r="136" spans="1:12" x14ac:dyDescent="0.25">
      <c r="A136" s="163" t="s">
        <v>504</v>
      </c>
      <c r="B136" s="90"/>
      <c r="C136" s="90"/>
      <c r="D136" s="90"/>
      <c r="E136" s="90"/>
      <c r="F136" s="90"/>
      <c r="G136" s="90"/>
      <c r="H136" s="90"/>
      <c r="I136" s="90"/>
      <c r="J136" s="90"/>
      <c r="K136" s="90"/>
      <c r="L136" s="191"/>
    </row>
    <row r="137" spans="1:12" x14ac:dyDescent="0.25">
      <c r="A137" s="493" t="s">
        <v>506</v>
      </c>
      <c r="B137" s="494"/>
      <c r="C137" s="494" t="s">
        <v>507</v>
      </c>
      <c r="D137" s="494"/>
      <c r="E137" s="494" t="s">
        <v>508</v>
      </c>
      <c r="F137" s="494"/>
      <c r="G137" s="494" t="s">
        <v>509</v>
      </c>
      <c r="H137" s="494"/>
      <c r="I137" s="494" t="s">
        <v>510</v>
      </c>
      <c r="J137" s="494"/>
      <c r="K137" s="494" t="s">
        <v>505</v>
      </c>
      <c r="L137" s="511"/>
    </row>
    <row r="138" spans="1:12" ht="15" customHeight="1" x14ac:dyDescent="0.25">
      <c r="A138" s="547" t="str">
        <f>IF(UNTERNEHMUNG_FILLED,VLOOKUP(A$137,helper_ERGEBNISSE!$A$122:$E$126,5,FALSE),"-")</f>
        <v>-</v>
      </c>
      <c r="B138" s="533"/>
      <c r="C138" s="533" t="str">
        <f>IF(ENERGIETECHNIK_FILLED,VLOOKUP(C$137,helper_ERGEBNISSE!$A$122:$E$126,5,FALSE),"-")</f>
        <v>-</v>
      </c>
      <c r="D138" s="533"/>
      <c r="E138" s="533" t="str">
        <f>IF(PROZESSTECHNIK_FILLED,VLOOKUP(E$137,helper_ERGEBNISSE!$A$122:$E$126,5,FALSE),"-")</f>
        <v>-</v>
      </c>
      <c r="F138" s="533"/>
      <c r="G138" s="533" t="str">
        <f>IF(DIGITALISIERUNG_FILLED,VLOOKUP(G$137,helper_ERGEBNISSE!$A$122:$E$126,5,FALSE),"-")</f>
        <v>-</v>
      </c>
      <c r="H138" s="533"/>
      <c r="I138" s="533" t="str">
        <f>IF(FLEXIBILISIERUNG_FILLED,VLOOKUP(I$137,helper_ERGEBNISSE!$A$122:$E$126,5,FALSE),"-")</f>
        <v>-</v>
      </c>
      <c r="J138" s="533"/>
      <c r="K138" s="533" t="str">
        <f>IF(AND(UNTERNEHMUNG_FILLED,ENERGIETECHNIK_FILLED,PROZESSTECHNIK_FILLED,DIGITALISIERUNG_FILLED,FLEXIBILISIERUNG_FILLED),helper_ERGEBNISSE!$E$127,"-")</f>
        <v>-</v>
      </c>
      <c r="L138" s="534"/>
    </row>
    <row r="139" spans="1:12" ht="15" customHeight="1" x14ac:dyDescent="0.25">
      <c r="A139" s="547"/>
      <c r="B139" s="533"/>
      <c r="C139" s="533"/>
      <c r="D139" s="533"/>
      <c r="E139" s="533"/>
      <c r="F139" s="533"/>
      <c r="G139" s="533"/>
      <c r="H139" s="533"/>
      <c r="I139" s="533"/>
      <c r="J139" s="533"/>
      <c r="K139" s="533"/>
      <c r="L139" s="534"/>
    </row>
    <row r="140" spans="1:12" ht="15" customHeight="1" x14ac:dyDescent="0.25">
      <c r="A140" s="541" t="str">
        <f>_xlfn.TEXTJOIN(" ",TRUE,helper_ERGEBNISSE!$A$129:$A$133)</f>
        <v/>
      </c>
      <c r="B140" s="542"/>
      <c r="C140" s="542"/>
      <c r="D140" s="542"/>
      <c r="E140" s="542"/>
      <c r="F140" s="542"/>
      <c r="G140" s="542"/>
      <c r="H140" s="542"/>
      <c r="I140" s="542"/>
      <c r="J140" s="542"/>
      <c r="K140" s="542"/>
      <c r="L140" s="543"/>
    </row>
    <row r="141" spans="1:12" x14ac:dyDescent="0.25">
      <c r="A141" s="541"/>
      <c r="B141" s="542"/>
      <c r="C141" s="542"/>
      <c r="D141" s="542"/>
      <c r="E141" s="542"/>
      <c r="F141" s="542"/>
      <c r="G141" s="542"/>
      <c r="H141" s="542"/>
      <c r="I141" s="542"/>
      <c r="J141" s="542"/>
      <c r="K141" s="542"/>
      <c r="L141" s="543"/>
    </row>
    <row r="142" spans="1:12" x14ac:dyDescent="0.25">
      <c r="A142" s="541"/>
      <c r="B142" s="542"/>
      <c r="C142" s="542"/>
      <c r="D142" s="542"/>
      <c r="E142" s="542"/>
      <c r="F142" s="542"/>
      <c r="G142" s="542"/>
      <c r="H142" s="542"/>
      <c r="I142" s="542"/>
      <c r="J142" s="542"/>
      <c r="K142" s="542"/>
      <c r="L142" s="543"/>
    </row>
    <row r="143" spans="1:12" x14ac:dyDescent="0.25">
      <c r="A143" s="541"/>
      <c r="B143" s="542"/>
      <c r="C143" s="542"/>
      <c r="D143" s="542"/>
      <c r="E143" s="542"/>
      <c r="F143" s="542"/>
      <c r="G143" s="542"/>
      <c r="H143" s="542"/>
      <c r="I143" s="542"/>
      <c r="J143" s="542"/>
      <c r="K143" s="542"/>
      <c r="L143" s="543"/>
    </row>
    <row r="144" spans="1:12" x14ac:dyDescent="0.25">
      <c r="A144" s="541"/>
      <c r="B144" s="542"/>
      <c r="C144" s="542"/>
      <c r="D144" s="542"/>
      <c r="E144" s="542"/>
      <c r="F144" s="542"/>
      <c r="G144" s="542"/>
      <c r="H144" s="542"/>
      <c r="I144" s="542"/>
      <c r="J144" s="542"/>
      <c r="K144" s="542"/>
      <c r="L144" s="543"/>
    </row>
    <row r="145" spans="1:12" x14ac:dyDescent="0.25">
      <c r="A145" s="544"/>
      <c r="B145" s="545"/>
      <c r="C145" s="545"/>
      <c r="D145" s="545"/>
      <c r="E145" s="545"/>
      <c r="F145" s="545"/>
      <c r="G145" s="545"/>
      <c r="H145" s="545"/>
      <c r="I145" s="545"/>
      <c r="J145" s="545"/>
      <c r="K145" s="545"/>
      <c r="L145" s="546"/>
    </row>
  </sheetData>
  <sheetProtection algorithmName="SHA-512" hashValue="VDk9b5UlOU9xpPwmbRY3hbRxCl0oi9be3cflH/WiHyGQ6la1gmNuInhXUovHe7YD5CO0A4B1FdLW4DF/oZfQsA==" saltValue="0xrgS8aYL1o9HtprDHTFtA==" spinCount="100000" sheet="1" formatColumns="0" selectLockedCells="1"/>
  <mergeCells count="250">
    <mergeCell ref="A140:L145"/>
    <mergeCell ref="K138:L139"/>
    <mergeCell ref="K137:L137"/>
    <mergeCell ref="A137:B137"/>
    <mergeCell ref="C137:D137"/>
    <mergeCell ref="E137:F137"/>
    <mergeCell ref="G137:H137"/>
    <mergeCell ref="I137:J137"/>
    <mergeCell ref="A138:B139"/>
    <mergeCell ref="C138:D139"/>
    <mergeCell ref="E138:F139"/>
    <mergeCell ref="G138:H139"/>
    <mergeCell ref="I138:J139"/>
    <mergeCell ref="A134:L134"/>
    <mergeCell ref="A135:K135"/>
    <mergeCell ref="A68:L68"/>
    <mergeCell ref="A69:K69"/>
    <mergeCell ref="A130:L130"/>
    <mergeCell ref="A131:L131"/>
    <mergeCell ref="A132:K132"/>
    <mergeCell ref="A115:L115"/>
    <mergeCell ref="A116:L116"/>
    <mergeCell ref="A117:K117"/>
    <mergeCell ref="A97:L97"/>
    <mergeCell ref="A98:K98"/>
    <mergeCell ref="A93:K93"/>
    <mergeCell ref="B101:E101"/>
    <mergeCell ref="G101:J101"/>
    <mergeCell ref="A119:L119"/>
    <mergeCell ref="A120:K120"/>
    <mergeCell ref="B123:E123"/>
    <mergeCell ref="G123:J123"/>
    <mergeCell ref="G124:J124"/>
    <mergeCell ref="B102:E102"/>
    <mergeCell ref="B124:E124"/>
    <mergeCell ref="A105:C105"/>
    <mergeCell ref="D105:F105"/>
    <mergeCell ref="A13:C13"/>
    <mergeCell ref="D13:F13"/>
    <mergeCell ref="G13:I13"/>
    <mergeCell ref="J13:L13"/>
    <mergeCell ref="A10:C10"/>
    <mergeCell ref="D10:F10"/>
    <mergeCell ref="G10:I10"/>
    <mergeCell ref="J10:L10"/>
    <mergeCell ref="A11:C11"/>
    <mergeCell ref="D11:F11"/>
    <mergeCell ref="G11:I11"/>
    <mergeCell ref="J11:L11"/>
    <mergeCell ref="B3:E3"/>
    <mergeCell ref="B4:J4"/>
    <mergeCell ref="G3:J3"/>
    <mergeCell ref="K3:L4"/>
    <mergeCell ref="B7:E7"/>
    <mergeCell ref="G7:J7"/>
    <mergeCell ref="G8:J8"/>
    <mergeCell ref="B8:E8"/>
    <mergeCell ref="A12:C12"/>
    <mergeCell ref="D12:F12"/>
    <mergeCell ref="G12:I12"/>
    <mergeCell ref="J12:L12"/>
    <mergeCell ref="D19:L19"/>
    <mergeCell ref="D20:K20"/>
    <mergeCell ref="D21:K21"/>
    <mergeCell ref="A20:C20"/>
    <mergeCell ref="A19:C19"/>
    <mergeCell ref="A21:C21"/>
    <mergeCell ref="A14:C14"/>
    <mergeCell ref="D14:F14"/>
    <mergeCell ref="G14:I14"/>
    <mergeCell ref="J14:L14"/>
    <mergeCell ref="A15:L15"/>
    <mergeCell ref="A16:L16"/>
    <mergeCell ref="A17:K17"/>
    <mergeCell ref="B24:K24"/>
    <mergeCell ref="B32:E32"/>
    <mergeCell ref="G32:J32"/>
    <mergeCell ref="C47:H47"/>
    <mergeCell ref="C48:H48"/>
    <mergeCell ref="A35:D35"/>
    <mergeCell ref="E35:H35"/>
    <mergeCell ref="I35:L35"/>
    <mergeCell ref="A36:D36"/>
    <mergeCell ref="E36:H36"/>
    <mergeCell ref="I36:L36"/>
    <mergeCell ref="A37:D37"/>
    <mergeCell ref="E37:H37"/>
    <mergeCell ref="I37:L37"/>
    <mergeCell ref="B26:I26"/>
    <mergeCell ref="B27:I27"/>
    <mergeCell ref="B28:I28"/>
    <mergeCell ref="B29:I29"/>
    <mergeCell ref="J26:L29"/>
    <mergeCell ref="A40:D40"/>
    <mergeCell ref="E40:H40"/>
    <mergeCell ref="I40:L40"/>
    <mergeCell ref="G33:J33"/>
    <mergeCell ref="I38:L38"/>
    <mergeCell ref="G113:I113"/>
    <mergeCell ref="J113:L113"/>
    <mergeCell ref="A114:C114"/>
    <mergeCell ref="D114:F114"/>
    <mergeCell ref="G114:I114"/>
    <mergeCell ref="J114:L114"/>
    <mergeCell ref="A86:F86"/>
    <mergeCell ref="G86:L86"/>
    <mergeCell ref="B92:F92"/>
    <mergeCell ref="G87:K87"/>
    <mergeCell ref="G88:K88"/>
    <mergeCell ref="B95:K95"/>
    <mergeCell ref="G102:J102"/>
    <mergeCell ref="A109:C109"/>
    <mergeCell ref="D109:F109"/>
    <mergeCell ref="G109:I109"/>
    <mergeCell ref="J109:L109"/>
    <mergeCell ref="A110:C110"/>
    <mergeCell ref="D110:F110"/>
    <mergeCell ref="G110:I110"/>
    <mergeCell ref="J110:L110"/>
    <mergeCell ref="D107:F107"/>
    <mergeCell ref="G107:I107"/>
    <mergeCell ref="J107:L107"/>
    <mergeCell ref="A108:C108"/>
    <mergeCell ref="A75:D75"/>
    <mergeCell ref="A76:D76"/>
    <mergeCell ref="G89:K89"/>
    <mergeCell ref="G90:K90"/>
    <mergeCell ref="G91:K91"/>
    <mergeCell ref="G92:K92"/>
    <mergeCell ref="A79:D79"/>
    <mergeCell ref="I75:L75"/>
    <mergeCell ref="I76:L76"/>
    <mergeCell ref="I77:L77"/>
    <mergeCell ref="I78:L78"/>
    <mergeCell ref="I79:L79"/>
    <mergeCell ref="E75:H75"/>
    <mergeCell ref="E76:H76"/>
    <mergeCell ref="E77:H77"/>
    <mergeCell ref="E78:H78"/>
    <mergeCell ref="E79:H79"/>
    <mergeCell ref="C83:G83"/>
    <mergeCell ref="J83:K83"/>
    <mergeCell ref="J84:K84"/>
    <mergeCell ref="H82:I82"/>
    <mergeCell ref="A82:B82"/>
    <mergeCell ref="A106:C106"/>
    <mergeCell ref="D106:F106"/>
    <mergeCell ref="G106:I106"/>
    <mergeCell ref="J106:L106"/>
    <mergeCell ref="A107:C107"/>
    <mergeCell ref="A104:C104"/>
    <mergeCell ref="D104:F104"/>
    <mergeCell ref="G104:I104"/>
    <mergeCell ref="J104:L104"/>
    <mergeCell ref="A129:C129"/>
    <mergeCell ref="D129:F129"/>
    <mergeCell ref="G129:I129"/>
    <mergeCell ref="J129:L129"/>
    <mergeCell ref="A126:C126"/>
    <mergeCell ref="D126:F126"/>
    <mergeCell ref="G126:I126"/>
    <mergeCell ref="J126:L126"/>
    <mergeCell ref="A127:C127"/>
    <mergeCell ref="D127:F127"/>
    <mergeCell ref="G127:I127"/>
    <mergeCell ref="J127:L127"/>
    <mergeCell ref="A128:C128"/>
    <mergeCell ref="D128:F128"/>
    <mergeCell ref="G128:I128"/>
    <mergeCell ref="J128:L128"/>
    <mergeCell ref="D108:F108"/>
    <mergeCell ref="G108:I108"/>
    <mergeCell ref="J108:L108"/>
    <mergeCell ref="A111:C111"/>
    <mergeCell ref="J63:K63"/>
    <mergeCell ref="C60:H60"/>
    <mergeCell ref="A61:B61"/>
    <mergeCell ref="A62:B62"/>
    <mergeCell ref="A113:C113"/>
    <mergeCell ref="D113:F113"/>
    <mergeCell ref="A81:B81"/>
    <mergeCell ref="A65:L65"/>
    <mergeCell ref="A66:K66"/>
    <mergeCell ref="D111:F111"/>
    <mergeCell ref="G111:I111"/>
    <mergeCell ref="J111:L111"/>
    <mergeCell ref="A112:C112"/>
    <mergeCell ref="D112:F112"/>
    <mergeCell ref="G112:I112"/>
    <mergeCell ref="J112:L112"/>
    <mergeCell ref="A77:D77"/>
    <mergeCell ref="A78:D78"/>
    <mergeCell ref="G105:I105"/>
    <mergeCell ref="J105:L105"/>
    <mergeCell ref="A57:L57"/>
    <mergeCell ref="A58:K58"/>
    <mergeCell ref="A64:L64"/>
    <mergeCell ref="A56:L56"/>
    <mergeCell ref="C84:G84"/>
    <mergeCell ref="C81:L81"/>
    <mergeCell ref="H83:I83"/>
    <mergeCell ref="H84:I84"/>
    <mergeCell ref="J82:K82"/>
    <mergeCell ref="A63:B63"/>
    <mergeCell ref="C61:H61"/>
    <mergeCell ref="C62:H62"/>
    <mergeCell ref="J60:K60"/>
    <mergeCell ref="J61:K61"/>
    <mergeCell ref="J62:K62"/>
    <mergeCell ref="C63:H63"/>
    <mergeCell ref="A83:B83"/>
    <mergeCell ref="A84:B84"/>
    <mergeCell ref="C82:G82"/>
    <mergeCell ref="C53:H53"/>
    <mergeCell ref="C54:H54"/>
    <mergeCell ref="C55:H55"/>
    <mergeCell ref="A45:B45"/>
    <mergeCell ref="C45:H45"/>
    <mergeCell ref="C46:H46"/>
    <mergeCell ref="A49:B49"/>
    <mergeCell ref="C49:H49"/>
    <mergeCell ref="A38:D38"/>
    <mergeCell ref="E38:H38"/>
    <mergeCell ref="A39:D39"/>
    <mergeCell ref="E39:H39"/>
    <mergeCell ref="C52:H52"/>
    <mergeCell ref="I39:L39"/>
    <mergeCell ref="A60:B60"/>
    <mergeCell ref="B72:E72"/>
    <mergeCell ref="G72:J72"/>
    <mergeCell ref="G73:J73"/>
    <mergeCell ref="B33:E33"/>
    <mergeCell ref="B73:E73"/>
    <mergeCell ref="A48:B48"/>
    <mergeCell ref="A42:B42"/>
    <mergeCell ref="A43:B43"/>
    <mergeCell ref="A44:B44"/>
    <mergeCell ref="C42:D42"/>
    <mergeCell ref="E42:F42"/>
    <mergeCell ref="G42:H42"/>
    <mergeCell ref="A46:B46"/>
    <mergeCell ref="A47:B47"/>
    <mergeCell ref="A50:B50"/>
    <mergeCell ref="A51:B51"/>
    <mergeCell ref="A52:B52"/>
    <mergeCell ref="A53:B53"/>
    <mergeCell ref="A54:B54"/>
    <mergeCell ref="A55:B55"/>
    <mergeCell ref="C50:H50"/>
    <mergeCell ref="C51:H51"/>
  </mergeCells>
  <conditionalFormatting sqref="A138:J139">
    <cfRule type="colorScale" priority="5">
      <colorScale>
        <cfvo type="num" val="0"/>
        <cfvo type="num" val="0.5"/>
        <cfvo type="num" val="1"/>
        <color theme="5" tint="0.59999389629810485"/>
        <color theme="0"/>
        <color rgb="FFD3F3CE"/>
      </colorScale>
    </cfRule>
  </conditionalFormatting>
  <conditionalFormatting sqref="I46:I48 I50:I55">
    <cfRule type="expression" dxfId="40" priority="7">
      <formula>I46="Eher positiv"</formula>
    </cfRule>
    <cfRule type="expression" dxfId="39" priority="8">
      <formula>I46="Positiv"</formula>
    </cfRule>
  </conditionalFormatting>
  <conditionalFormatting sqref="K3:L4">
    <cfRule type="colorScale" priority="66">
      <colorScale>
        <cfvo type="num" val="0"/>
        <cfvo type="num" val="0.5"/>
        <cfvo type="num" val="1"/>
        <color theme="5" tint="0.59999389629810485"/>
        <color theme="0"/>
        <color rgb="FFD3F3CE"/>
      </colorScale>
    </cfRule>
  </conditionalFormatting>
  <conditionalFormatting sqref="K138:L139">
    <cfRule type="colorScale" priority="6">
      <colorScale>
        <cfvo type="num" val="0"/>
        <cfvo type="num" val="0.5"/>
        <cfvo type="num" val="1"/>
        <color theme="5" tint="0.59999389629810485"/>
        <color theme="0"/>
        <color rgb="FFD3F3CE"/>
      </colorScale>
    </cfRule>
  </conditionalFormatting>
  <conditionalFormatting sqref="L20:L21">
    <cfRule type="expression" dxfId="34" priority="60">
      <formula>L20="Positiv"</formula>
    </cfRule>
    <cfRule type="expression" dxfId="33" priority="59">
      <formula>L20="Eher positiv"</formula>
    </cfRule>
  </conditionalFormatting>
  <conditionalFormatting sqref="L24">
    <cfRule type="expression" dxfId="32" priority="53">
      <formula>L24="Negativ"</formula>
    </cfRule>
    <cfRule type="expression" dxfId="31" priority="56">
      <formula>L24="Positiv"</formula>
    </cfRule>
    <cfRule type="expression" dxfId="30" priority="55">
      <formula>L24="Eher positiv"</formula>
    </cfRule>
    <cfRule type="expression" dxfId="29" priority="54">
      <formula>L24="Eher negativ"</formula>
    </cfRule>
  </conditionalFormatting>
  <conditionalFormatting sqref="L61:L63">
    <cfRule type="expression" dxfId="24" priority="11">
      <formula>L61="Positiv"</formula>
    </cfRule>
    <cfRule type="expression" dxfId="23" priority="10">
      <formula>L61="Eher positiv"</formula>
    </cfRule>
  </conditionalFormatting>
  <conditionalFormatting sqref="L82:L84">
    <cfRule type="expression" dxfId="17" priority="25">
      <formula>L82="Positiv"</formula>
    </cfRule>
    <cfRule type="expression" dxfId="16" priority="24">
      <formula>L82="Eher positiv"</formula>
    </cfRule>
    <cfRule type="expression" dxfId="15" priority="23">
      <formula>L82="Negativ"</formula>
    </cfRule>
    <cfRule type="expression" dxfId="14" priority="22">
      <formula>L82="Eher negativ"</formula>
    </cfRule>
  </conditionalFormatting>
  <conditionalFormatting sqref="L87:L91">
    <cfRule type="expression" dxfId="13" priority="29">
      <formula>L87="Positiv"</formula>
    </cfRule>
    <cfRule type="expression" dxfId="12" priority="28">
      <formula>L87="Eher positiv"</formula>
    </cfRule>
    <cfRule type="expression" dxfId="11" priority="27">
      <formula>L87="Eher negativ"</formula>
    </cfRule>
    <cfRule type="expression" dxfId="10" priority="26">
      <formula>L87="Negativ"</formula>
    </cfRule>
  </conditionalFormatting>
  <conditionalFormatting sqref="L95">
    <cfRule type="expression" dxfId="8" priority="33">
      <formula>L95="Positiv"</formula>
    </cfRule>
    <cfRule type="expression" dxfId="7" priority="32">
      <formula>L95="Eher positiv"</formula>
    </cfRule>
    <cfRule type="expression" dxfId="6" priority="31">
      <formula>L95="Eher negativ"</formula>
    </cfRule>
    <cfRule type="expression" dxfId="5" priority="30">
      <formula>L95="Negativ"</formula>
    </cfRule>
  </conditionalFormatting>
  <printOptions horizontalCentered="1"/>
  <pageMargins left="0.70866141732283472" right="0.70866141732283472" top="0.74803149606299213" bottom="0.74803149606299213" header="0.31496062992125984" footer="0.31496062992125984"/>
  <pageSetup paperSize="9" scale="53" fitToHeight="0" orientation="portrait" verticalDpi="0" r:id="rId1"/>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rowBreaks count="1" manualBreakCount="1">
    <brk id="69" max="16383" man="1"/>
  </rowBreaks>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49" id="{D74E04AA-B18F-4C0E-A3BA-ECA5FBF41526}">
            <xm:f>NOT(helper_ERGEBNISSE!$C$8)</xm:f>
            <x14:dxf>
              <font>
                <strike/>
              </font>
            </x14:dxf>
          </x14:cfRule>
          <xm:sqref>A17:K17</xm:sqref>
        </x14:conditionalFormatting>
        <x14:conditionalFormatting xmlns:xm="http://schemas.microsoft.com/office/excel/2006/main">
          <x14:cfRule type="expression" priority="13" id="{54064346-E25A-4322-AD9D-970FA54924F6}">
            <xm:f>NOT(OR(helper_ERGEBNISSE!$C$59,helper_ERGEBNISSE!$C$36))</xm:f>
            <x14:dxf>
              <font>
                <strike/>
              </font>
            </x14:dxf>
          </x14:cfRule>
          <xm:sqref>A58:K58</xm:sqref>
        </x14:conditionalFormatting>
        <x14:conditionalFormatting xmlns:xm="http://schemas.microsoft.com/office/excel/2006/main">
          <x14:cfRule type="expression" priority="18" id="{AD7800DE-DF9E-435F-8092-CD74EFDB0EC0}">
            <xm:f>NOT(helper_ERGEBNISSE!$C$61)</xm:f>
            <x14:dxf>
              <font>
                <strike/>
              </font>
            </x14:dxf>
          </x14:cfRule>
          <xm:sqref>A66:K66</xm:sqref>
        </x14:conditionalFormatting>
        <x14:conditionalFormatting xmlns:xm="http://schemas.microsoft.com/office/excel/2006/main">
          <x14:cfRule type="expression" priority="48" id="{176C6487-1628-4574-B3CE-E179E7BF9BB3}">
            <xm:f>NOT(helper_ERGEBNISSE!$C$63)</xm:f>
            <x14:dxf>
              <font>
                <strike/>
              </font>
            </x14:dxf>
          </x14:cfRule>
          <xm:sqref>A69:K69</xm:sqref>
        </x14:conditionalFormatting>
        <x14:conditionalFormatting xmlns:xm="http://schemas.microsoft.com/office/excel/2006/main">
          <x14:cfRule type="expression" priority="47" id="{629A7C73-A91A-4CBF-96F3-EF7647C4244A}">
            <xm:f>NOT(helper_ERGEBNISSE!$C$89)</xm:f>
            <x14:dxf>
              <font>
                <strike/>
              </font>
            </x14:dxf>
          </x14:cfRule>
          <xm:sqref>A93:K93</xm:sqref>
        </x14:conditionalFormatting>
        <x14:conditionalFormatting xmlns:xm="http://schemas.microsoft.com/office/excel/2006/main">
          <x14:cfRule type="expression" priority="46" id="{8D6D6451-1EAB-4B60-B10B-BCDDEF5AD0A6}">
            <xm:f>NOT(helper_ERGEBNISSE!$C$93)</xm:f>
            <x14:dxf>
              <font>
                <strike/>
              </font>
            </x14:dxf>
          </x14:cfRule>
          <xm:sqref>A98:K98</xm:sqref>
        </x14:conditionalFormatting>
        <x14:conditionalFormatting xmlns:xm="http://schemas.microsoft.com/office/excel/2006/main">
          <x14:cfRule type="expression" priority="45" id="{535A3D61-BA63-4BD6-94B5-E5234A54C680}">
            <xm:f>NOT(helper_ERGEBNISSE!$C$107)</xm:f>
            <x14:dxf>
              <font>
                <strike/>
              </font>
            </x14:dxf>
          </x14:cfRule>
          <xm:sqref>A117:K117</xm:sqref>
        </x14:conditionalFormatting>
        <x14:conditionalFormatting xmlns:xm="http://schemas.microsoft.com/office/excel/2006/main">
          <x14:cfRule type="expression" priority="44" id="{62609A95-D7FF-4D0A-8C66-B49AC6F1551F}">
            <xm:f>NOT(helper_ERGEBNISSE!$C$109)</xm:f>
            <x14:dxf>
              <font>
                <strike/>
              </font>
            </x14:dxf>
          </x14:cfRule>
          <xm:sqref>A120:K120</xm:sqref>
        </x14:conditionalFormatting>
        <x14:conditionalFormatting xmlns:xm="http://schemas.microsoft.com/office/excel/2006/main">
          <x14:cfRule type="expression" priority="43" id="{02D65E49-5390-4FDE-8D99-19DCBB835A37}">
            <xm:f>NOT(helper_ERGEBNISSE!$C$116)</xm:f>
            <x14:dxf>
              <font>
                <strike/>
              </font>
            </x14:dxf>
          </x14:cfRule>
          <xm:sqref>A132:K132</xm:sqref>
        </x14:conditionalFormatting>
        <x14:conditionalFormatting xmlns:xm="http://schemas.microsoft.com/office/excel/2006/main">
          <x14:cfRule type="expression" priority="42" id="{355B0D65-DBBB-4263-9872-EE230B99B854}">
            <xm:f>NOT(helper_ERGEBNISSE!$C$118)</xm:f>
            <x14:dxf>
              <font>
                <strike/>
              </font>
            </x14:dxf>
          </x14:cfRule>
          <xm:sqref>A135:K135</xm:sqref>
        </x14:conditionalFormatting>
        <x14:conditionalFormatting xmlns:xm="http://schemas.microsoft.com/office/excel/2006/main">
          <x14:cfRule type="expression" priority="9" id="{78379AA3-BDC5-47CA-B9DB-4746D1F3215A}">
            <xm:f>NOT(helper_ERGEBNISSE!$C$57)</xm:f>
            <x14:dxf>
              <font>
                <strike/>
              </font>
              <fill>
                <patternFill>
                  <bgColor theme="0"/>
                </patternFill>
              </fill>
            </x14:dxf>
          </x14:cfRule>
          <xm:sqref>A63:L63</xm:sqref>
        </x14:conditionalFormatting>
        <x14:conditionalFormatting xmlns:xm="http://schemas.microsoft.com/office/excel/2006/main">
          <x14:cfRule type="expression" priority="52" id="{7255D697-4297-4742-8DCC-CB8C3866CAB8}">
            <xm:f>L17=helper_ERGEBNISSE!$A$138</xm:f>
            <x14:dxf>
              <fill>
                <patternFill>
                  <bgColor theme="5" tint="0.59996337778862885"/>
                </patternFill>
              </fill>
            </x14:dxf>
          </x14:cfRule>
          <x14:cfRule type="expression" priority="51" id="{478D5309-27B8-4EDD-A1E1-45BD2412361A}">
            <xm:f>L17=helper_ERGEBNISSE!$A$136</xm:f>
            <x14:dxf>
              <fill>
                <patternFill>
                  <bgColor rgb="FFD3F3CE"/>
                </patternFill>
              </fill>
            </x14:dxf>
          </x14:cfRule>
          <x14:cfRule type="expression" priority="50" id="{3AA203D8-B9F8-4B56-9FEB-CAD98013831A}">
            <xm:f>L17=helper_ERGEBNISSE!$A$137</xm:f>
            <x14:dxf>
              <fill>
                <patternFill patternType="none">
                  <bgColor auto="1"/>
                </patternFill>
              </fill>
            </x14:dxf>
          </x14:cfRule>
          <xm:sqref>L17 L69 L93 L98 L117 L120 L132 L135</xm:sqref>
        </x14:conditionalFormatting>
        <x14:conditionalFormatting xmlns:xm="http://schemas.microsoft.com/office/excel/2006/main">
          <x14:cfRule type="expression" priority="41" id="{32F40C0E-635C-4ECF-81AB-030FC9C29880}">
            <xm:f>NOT(helper_ERGEBNISSE!$C$8)</xm:f>
            <x14:dxf>
              <font>
                <strike/>
              </font>
              <fill>
                <patternFill>
                  <bgColor theme="0"/>
                </patternFill>
              </fill>
            </x14:dxf>
          </x14:cfRule>
          <xm:sqref>L17</xm:sqref>
        </x14:conditionalFormatting>
        <x14:conditionalFormatting xmlns:xm="http://schemas.microsoft.com/office/excel/2006/main">
          <x14:cfRule type="expression" priority="15" id="{70BC749D-7BD7-4183-A3AD-B8E83B367A23}">
            <xm:f>L58=helper_ERGEBNISSE!$A$136</xm:f>
            <x14:dxf>
              <fill>
                <patternFill>
                  <bgColor rgb="FFD3F3CE"/>
                </patternFill>
              </fill>
            </x14:dxf>
          </x14:cfRule>
          <x14:cfRule type="expression" priority="16" id="{661A8FBD-EFEA-4185-A55D-190AC71047AE}">
            <xm:f>L58=helper_ERGEBNISSE!$A$138</xm:f>
            <x14:dxf>
              <fill>
                <patternFill>
                  <bgColor theme="5" tint="0.59996337778862885"/>
                </patternFill>
              </fill>
            </x14:dxf>
          </x14:cfRule>
          <x14:cfRule type="expression" priority="12" id="{7308AF9E-7255-4FBC-9502-BABAAEBE6B4A}">
            <xm:f>NOT(OR(helper_ERGEBNISSE!$C$59,helper_ERGEBNISSE!$C$36))</xm:f>
            <x14:dxf>
              <font>
                <strike/>
              </font>
              <fill>
                <patternFill>
                  <bgColor theme="0"/>
                </patternFill>
              </fill>
            </x14:dxf>
          </x14:cfRule>
          <x14:cfRule type="expression" priority="14" id="{D2658539-384C-495F-B18B-12AD14950CE4}">
            <xm:f>L58=helper_ERGEBNISSE!$A$137</xm:f>
            <x14:dxf>
              <fill>
                <patternFill patternType="none">
                  <bgColor auto="1"/>
                </patternFill>
              </fill>
            </x14:dxf>
          </x14:cfRule>
          <xm:sqref>L58</xm:sqref>
        </x14:conditionalFormatting>
        <x14:conditionalFormatting xmlns:xm="http://schemas.microsoft.com/office/excel/2006/main">
          <x14:cfRule type="expression" priority="21" id="{43B07429-9E80-45E8-906E-EAA9E4AFD589}">
            <xm:f>L66=helper_ERGEBNISSE!$A$138</xm:f>
            <x14:dxf>
              <fill>
                <patternFill>
                  <bgColor theme="5" tint="0.59996337778862885"/>
                </patternFill>
              </fill>
            </x14:dxf>
          </x14:cfRule>
          <x14:cfRule type="expression" priority="20" id="{DB96442D-8467-4BFE-9959-0F1214B2F070}">
            <xm:f>L66=helper_ERGEBNISSE!$A$136</xm:f>
            <x14:dxf>
              <fill>
                <patternFill>
                  <bgColor rgb="FFD3F3CE"/>
                </patternFill>
              </fill>
            </x14:dxf>
          </x14:cfRule>
          <x14:cfRule type="expression" priority="19" id="{D3D05A25-0214-4891-90CE-6D797EDED526}">
            <xm:f>L66=helper_ERGEBNISSE!$A$137</xm:f>
            <x14:dxf>
              <fill>
                <patternFill patternType="none">
                  <bgColor auto="1"/>
                </patternFill>
              </fill>
            </x14:dxf>
          </x14:cfRule>
          <x14:cfRule type="expression" priority="17" id="{E854AD65-7AB6-438C-ABD1-AEB4F6D957A1}">
            <xm:f>NOT(helper_ERGEBNISSE!$C$61)</xm:f>
            <x14:dxf>
              <font>
                <strike/>
              </font>
              <fill>
                <patternFill>
                  <bgColor theme="0"/>
                </patternFill>
              </fill>
            </x14:dxf>
          </x14:cfRule>
          <xm:sqref>L66</xm:sqref>
        </x14:conditionalFormatting>
        <x14:conditionalFormatting xmlns:xm="http://schemas.microsoft.com/office/excel/2006/main">
          <x14:cfRule type="expression" priority="40" id="{BF519440-D479-4589-87AC-B37D134F6649}">
            <xm:f>NOT(helper_ERGEBNISSE!$C$63)</xm:f>
            <x14:dxf>
              <font>
                <strike/>
              </font>
              <fill>
                <patternFill>
                  <bgColor theme="0"/>
                </patternFill>
              </fill>
            </x14:dxf>
          </x14:cfRule>
          <xm:sqref>L69</xm:sqref>
        </x14:conditionalFormatting>
        <x14:conditionalFormatting xmlns:xm="http://schemas.microsoft.com/office/excel/2006/main">
          <x14:cfRule type="iconSet" priority="68" id="{6BF91E06-24EB-48A5-AEF7-45E23423BFD1}">
            <x14:iconSet showValue="0" custom="1">
              <x14:cfvo type="percent">
                <xm:f>0</xm:f>
              </x14:cfvo>
              <x14:cfvo type="num">
                <xm:f>1</xm:f>
              </x14:cfvo>
              <x14:cfvo type="num">
                <xm:f>2</xm:f>
              </x14:cfvo>
              <x14:cfIcon iconSet="3Symbols" iconId="0"/>
              <x14:cfIcon iconSet="3Symbols" iconId="2"/>
              <x14:cfIcon iconSet="4RedToBlack" iconId="1"/>
            </x14:iconSet>
          </x14:cfRule>
          <xm:sqref>L70:L73 L5:L8 L30:L33 L99:L102 L121:L124</xm:sqref>
        </x14:conditionalFormatting>
        <x14:conditionalFormatting xmlns:xm="http://schemas.microsoft.com/office/excel/2006/main">
          <x14:cfRule type="expression" priority="39" id="{B35EB8E2-768C-47C5-9D37-30DA34AACB2F}">
            <xm:f>NOT(helper_ERGEBNISSE!$C$89)</xm:f>
            <x14:dxf>
              <font>
                <strike/>
              </font>
              <fill>
                <patternFill>
                  <bgColor theme="0"/>
                </patternFill>
              </fill>
            </x14:dxf>
          </x14:cfRule>
          <xm:sqref>L93</xm:sqref>
        </x14:conditionalFormatting>
        <x14:conditionalFormatting xmlns:xm="http://schemas.microsoft.com/office/excel/2006/main">
          <x14:cfRule type="expression" priority="38" id="{0DAB0597-5410-4C5D-9703-F17295048BCF}">
            <xm:f>NOT(helper_ERGEBNISSE!$C$93)</xm:f>
            <x14:dxf>
              <font>
                <strike/>
              </font>
              <fill>
                <patternFill>
                  <bgColor theme="0"/>
                </patternFill>
              </fill>
            </x14:dxf>
          </x14:cfRule>
          <xm:sqref>L98</xm:sqref>
        </x14:conditionalFormatting>
        <x14:conditionalFormatting xmlns:xm="http://schemas.microsoft.com/office/excel/2006/main">
          <x14:cfRule type="expression" priority="37" id="{62C1D430-1DA9-449A-A3CC-3E5CD45BE07C}">
            <xm:f>NOT(helper_ERGEBNISSE!$C$107)</xm:f>
            <x14:dxf>
              <font>
                <strike/>
              </font>
              <fill>
                <patternFill>
                  <bgColor theme="0"/>
                </patternFill>
              </fill>
            </x14:dxf>
          </x14:cfRule>
          <xm:sqref>L117</xm:sqref>
        </x14:conditionalFormatting>
        <x14:conditionalFormatting xmlns:xm="http://schemas.microsoft.com/office/excel/2006/main">
          <x14:cfRule type="expression" priority="36" id="{ADF3224D-40E8-458E-BEE7-265D4CB259FC}">
            <xm:f>NOT(helper_ERGEBNISSE!$C$109)</xm:f>
            <x14:dxf>
              <font>
                <strike/>
              </font>
              <fill>
                <patternFill>
                  <bgColor theme="0"/>
                </patternFill>
              </fill>
            </x14:dxf>
          </x14:cfRule>
          <xm:sqref>L120</xm:sqref>
        </x14:conditionalFormatting>
        <x14:conditionalFormatting xmlns:xm="http://schemas.microsoft.com/office/excel/2006/main">
          <x14:cfRule type="expression" priority="35" id="{6B95ECA2-E7B4-4A98-AE88-9DD368FB763F}">
            <xm:f>NOT(helper_ERGEBNISSE!$C$116)</xm:f>
            <x14:dxf>
              <font>
                <strike/>
              </font>
              <fill>
                <patternFill>
                  <bgColor theme="0"/>
                </patternFill>
              </fill>
            </x14:dxf>
          </x14:cfRule>
          <xm:sqref>L132</xm:sqref>
        </x14:conditionalFormatting>
        <x14:conditionalFormatting xmlns:xm="http://schemas.microsoft.com/office/excel/2006/main">
          <x14:cfRule type="expression" priority="34" id="{BEF96ADC-28D1-4CCE-A63B-1CDDE8437D8F}">
            <xm:f>NOT(helper_ERGEBNISSE!$C$118)</xm:f>
            <x14:dxf>
              <font>
                <strike/>
              </font>
              <fill>
                <patternFill>
                  <bgColor theme="0"/>
                </patternFill>
              </fill>
            </x14:dxf>
          </x14:cfRule>
          <xm:sqref>L135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89AFDC4-3D1E-4246-9DF6-BE813E44C981}">
          <x14:formula1>
            <xm:f>helper_ERGEBNISSE!$A$136:$A$138</xm:f>
          </x14:formula1>
          <xm:sqref>L135 L58 L66 L93 L17 L69 L98 L120 L132 L117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6F10E-F54E-467D-AE21-1E3E43534C5E}">
  <sheetPr codeName="TAB61"/>
  <dimension ref="A1:W138"/>
  <sheetViews>
    <sheetView workbookViewId="0">
      <selection activeCell="F18" sqref="F18"/>
    </sheetView>
  </sheetViews>
  <sheetFormatPr defaultColWidth="9.140625" defaultRowHeight="15" x14ac:dyDescent="0.25"/>
  <cols>
    <col min="1" max="1" width="36" style="118" bestFit="1" customWidth="1"/>
    <col min="2" max="5" width="10.42578125" style="118" bestFit="1" customWidth="1"/>
    <col min="6" max="6" width="46.42578125" style="118" bestFit="1" customWidth="1"/>
    <col min="7" max="8" width="9.140625" style="118"/>
    <col min="9" max="9" width="10" style="118" bestFit="1" customWidth="1"/>
    <col min="10" max="16384" width="9.140625" style="118"/>
  </cols>
  <sheetData>
    <row r="1" spans="1:23" x14ac:dyDescent="0.25">
      <c r="A1" s="203" t="s">
        <v>256</v>
      </c>
      <c r="B1" s="118" t="s">
        <v>348</v>
      </c>
      <c r="C1" s="118" t="s">
        <v>349</v>
      </c>
      <c r="D1" s="118" t="s">
        <v>311</v>
      </c>
      <c r="E1" s="118" t="s">
        <v>294</v>
      </c>
      <c r="F1" s="118" t="s">
        <v>295</v>
      </c>
      <c r="G1" s="118" t="s">
        <v>297</v>
      </c>
      <c r="H1" s="118" t="s">
        <v>303</v>
      </c>
    </row>
    <row r="2" spans="1:23" x14ac:dyDescent="0.25">
      <c r="A2" s="204" t="s">
        <v>29</v>
      </c>
      <c r="B2" s="118" t="s">
        <v>357</v>
      </c>
      <c r="D2" s="118">
        <v>2</v>
      </c>
    </row>
    <row r="3" spans="1:23" x14ac:dyDescent="0.25">
      <c r="A3" s="205" t="s">
        <v>1</v>
      </c>
    </row>
    <row r="4" spans="1:23" x14ac:dyDescent="0.25">
      <c r="A4" s="118" t="s">
        <v>403</v>
      </c>
      <c r="B4" s="118" t="b">
        <v>0</v>
      </c>
      <c r="C4" s="118" t="b">
        <f>helper_UNTERNEHMUNG!$B32 = 1</f>
        <v>0</v>
      </c>
      <c r="D4" s="118">
        <v>0</v>
      </c>
      <c r="E4" s="118">
        <v>5</v>
      </c>
      <c r="F4" s="118" t="s">
        <v>296</v>
      </c>
      <c r="G4" s="118">
        <f>MAX(0,helper_UNTERNEHMUNG!$C32-1)*$E4</f>
        <v>0</v>
      </c>
    </row>
    <row r="5" spans="1:23" x14ac:dyDescent="0.25">
      <c r="A5" s="118" t="s">
        <v>503</v>
      </c>
      <c r="B5" s="118" t="b">
        <v>0</v>
      </c>
      <c r="C5" s="118" t="b">
        <f>helper_UNTERNEHMUNG!$B33 = 1</f>
        <v>0</v>
      </c>
      <c r="D5" s="118">
        <v>0</v>
      </c>
      <c r="E5" s="118">
        <v>5</v>
      </c>
      <c r="F5" s="118" t="s">
        <v>298</v>
      </c>
      <c r="G5" s="118">
        <f>MAX(0,helper_UNTERNEHMUNG!$C33-1)*$E5</f>
        <v>0</v>
      </c>
    </row>
    <row r="6" spans="1:23" x14ac:dyDescent="0.25">
      <c r="A6" s="118" t="s">
        <v>404</v>
      </c>
      <c r="B6" s="118" t="b">
        <v>1</v>
      </c>
      <c r="C6" s="118" t="b">
        <f>helper_UNTERNEHMUNG!$B34 = 1</f>
        <v>0</v>
      </c>
      <c r="D6" s="118">
        <v>-5</v>
      </c>
      <c r="E6" s="118">
        <v>0</v>
      </c>
      <c r="F6" s="118" t="s">
        <v>299</v>
      </c>
      <c r="G6" s="118">
        <f>IF(helper_UNTERNEHMUNG!$C$34&lt;=1,0,$G$4+$D$6)</f>
        <v>0</v>
      </c>
      <c r="H6" s="118" t="b">
        <f>helper_UNTERNEHMUNG!$C34=2</f>
        <v>0</v>
      </c>
    </row>
    <row r="7" spans="1:23" x14ac:dyDescent="0.25">
      <c r="A7" s="118" t="s">
        <v>358</v>
      </c>
      <c r="B7" s="118" t="b">
        <v>1</v>
      </c>
      <c r="C7" s="118" t="b">
        <f>helper_UNTERNEHMUNG!$B35 = 1</f>
        <v>0</v>
      </c>
      <c r="D7" s="118">
        <v>0</v>
      </c>
      <c r="E7" s="118">
        <v>10</v>
      </c>
      <c r="F7" s="118" t="s">
        <v>300</v>
      </c>
      <c r="G7" s="118" cm="1">
        <f t="array" ref="G7">_xlfn.IFS(OR(helper_UNTERNEHMUNG!$B$35=2,AND(helper_UNTERNEHMUNG!$C$35=1,NOT(helper_UNTERNEHMUNG!$D$35))),0,AND(helper_UNTERNEHMUNG!$C$35=1,helper_UNTERNEHMUNG!$D$35),$E$7/2,helper_UNTERNEHMUNG!$C$35=2,$E$7)</f>
        <v>0</v>
      </c>
      <c r="H7" s="118" t="b">
        <f>helper_UNTERNEHMUNG!$C35=2</f>
        <v>0</v>
      </c>
    </row>
    <row r="8" spans="1:23" x14ac:dyDescent="0.25">
      <c r="A8" s="118" t="s">
        <v>302</v>
      </c>
      <c r="B8" s="118" t="b">
        <v>1</v>
      </c>
      <c r="C8" s="118" t="b">
        <f>helper_UNTERNEHMUNG!$B36 = 1</f>
        <v>0</v>
      </c>
      <c r="D8" s="118">
        <v>-5</v>
      </c>
      <c r="E8" s="118">
        <v>5</v>
      </c>
      <c r="F8" s="118" t="s">
        <v>301</v>
      </c>
      <c r="G8" s="118">
        <f>IF(NOT($C8),0,$H8*$E$8)</f>
        <v>0</v>
      </c>
      <c r="H8" s="118">
        <f>VLOOKUP(IF($I8=0,$A$137,$I8),$A$136:$B$138,2,FALSE)</f>
        <v>0</v>
      </c>
      <c r="I8" s="118">
        <f>ERGEBNISSE!$L$17</f>
        <v>0</v>
      </c>
    </row>
    <row r="9" spans="1:23" x14ac:dyDescent="0.25">
      <c r="A9" s="205" t="s">
        <v>115</v>
      </c>
    </row>
    <row r="10" spans="1:23" x14ac:dyDescent="0.25">
      <c r="A10" s="118" t="s">
        <v>360</v>
      </c>
      <c r="B10" s="118" t="b">
        <v>0</v>
      </c>
      <c r="C10" s="118" t="b">
        <f>helper_UNTERNEHMUNG!$B39 = 1</f>
        <v>0</v>
      </c>
      <c r="D10" s="118">
        <v>0</v>
      </c>
      <c r="E10" s="118">
        <v>5</v>
      </c>
      <c r="F10" s="118" t="s">
        <v>306</v>
      </c>
      <c r="G10" s="118">
        <f>MIN($E$10,ROUND($E$10*($H$10-1)/5,0))</f>
        <v>-1</v>
      </c>
      <c r="H10" s="118">
        <f>COUNTIF(helper_UNTERNEHMUNG!$B$39:$B$53,1)</f>
        <v>0</v>
      </c>
    </row>
    <row r="11" spans="1:23" x14ac:dyDescent="0.25">
      <c r="A11" s="118" t="s">
        <v>13</v>
      </c>
      <c r="B11" s="118" t="b">
        <v>0</v>
      </c>
      <c r="C11" s="118" t="b">
        <f>helper_UNTERNEHMUNG!$B39 = 1</f>
        <v>0</v>
      </c>
      <c r="D11" s="118">
        <v>0</v>
      </c>
      <c r="E11" s="118">
        <v>0</v>
      </c>
      <c r="F11" s="118" t="s">
        <v>304</v>
      </c>
      <c r="G11" s="118">
        <f>$E$11</f>
        <v>0</v>
      </c>
      <c r="I11" s="118" cm="1">
        <f t="array" ref="I11:W11">TRANSPOSE(IF(helper_UNTERNEHMUNG!$B$39:$B$53=1,8760/UNTERNEHMUNG!$L$26:$L$40,0))</f>
        <v>0</v>
      </c>
      <c r="J11" s="118">
        <v>0</v>
      </c>
      <c r="K11" s="118">
        <v>0</v>
      </c>
      <c r="L11" s="118">
        <v>0</v>
      </c>
      <c r="M11" s="118">
        <v>0</v>
      </c>
      <c r="N11" s="118">
        <v>0</v>
      </c>
      <c r="O11" s="118">
        <v>0</v>
      </c>
      <c r="P11" s="118">
        <v>0</v>
      </c>
      <c r="Q11" s="118">
        <v>0</v>
      </c>
      <c r="R11" s="118">
        <v>0</v>
      </c>
      <c r="S11" s="118">
        <v>0</v>
      </c>
      <c r="T11" s="118">
        <v>0</v>
      </c>
      <c r="U11" s="118">
        <v>0</v>
      </c>
      <c r="V11" s="118">
        <v>0</v>
      </c>
      <c r="W11" s="118">
        <v>0</v>
      </c>
    </row>
    <row r="12" spans="1:23" x14ac:dyDescent="0.25">
      <c r="A12" s="118" t="s">
        <v>261</v>
      </c>
      <c r="B12" s="118" t="b">
        <v>0</v>
      </c>
      <c r="C12" s="118" t="b">
        <f>helper_UNTERNEHMUNG!$B39 = 1</f>
        <v>0</v>
      </c>
      <c r="D12" s="118">
        <v>0</v>
      </c>
      <c r="E12" s="118">
        <v>5</v>
      </c>
      <c r="F12" s="118" t="s">
        <v>307</v>
      </c>
      <c r="G12" s="118">
        <f>ROUND($H$12*$E$12,0)</f>
        <v>0</v>
      </c>
      <c r="H12" s="118" cm="1">
        <f t="array" ref="H12">IF(helper_UNTERNEHMUNG!$B$39=1,IFERROR(AVERAGE(_xlfn._xlws.FILTER(_xlfn.ANCHORARRAY($I$12),TRANSPOSE(helper_UNTERNEHMUNG!$B$39:$B$53)=1)),0),0)</f>
        <v>0</v>
      </c>
      <c r="I12" s="118" cm="1">
        <f t="array" ref="I12:W12">1-IF(TRANSPOSE(helper_UNTERNEHMUNG!$B$39:$B$53)=1,_xlfn.BYCOL(TRANSPOSE(UNTERNEHMUNG!$P$26:$P$40)/_xlfn.ANCHORARRAY($I$11),_xlfn.LAMBDA(_xlpm.x,SATURATION(_xlpm.x,0,1))),1)</f>
        <v>0</v>
      </c>
      <c r="J12" s="118">
        <v>0</v>
      </c>
      <c r="K12" s="118">
        <v>0</v>
      </c>
      <c r="L12" s="118">
        <v>0</v>
      </c>
      <c r="M12" s="118">
        <v>0</v>
      </c>
      <c r="N12" s="118">
        <v>0</v>
      </c>
      <c r="O12" s="118">
        <v>0</v>
      </c>
      <c r="P12" s="118">
        <v>0</v>
      </c>
      <c r="Q12" s="118">
        <v>0</v>
      </c>
      <c r="R12" s="118">
        <v>0</v>
      </c>
      <c r="S12" s="118">
        <v>0</v>
      </c>
      <c r="T12" s="118">
        <v>0</v>
      </c>
      <c r="U12" s="118">
        <v>0</v>
      </c>
      <c r="V12" s="118">
        <v>0</v>
      </c>
      <c r="W12" s="118">
        <v>0</v>
      </c>
    </row>
    <row r="13" spans="1:23" x14ac:dyDescent="0.25">
      <c r="A13" s="205" t="s">
        <v>170</v>
      </c>
    </row>
    <row r="14" spans="1:23" x14ac:dyDescent="0.25">
      <c r="A14" s="118" t="s">
        <v>170</v>
      </c>
      <c r="B14" s="118" t="b">
        <v>0</v>
      </c>
      <c r="C14" s="118" t="b">
        <f>helper_UNTERNEHMUNG!$B56 = 1</f>
        <v>0</v>
      </c>
      <c r="D14" s="118">
        <v>-5</v>
      </c>
      <c r="E14" s="118">
        <v>5</v>
      </c>
      <c r="F14" s="118" t="s">
        <v>310</v>
      </c>
      <c r="G14" s="118">
        <f>ROUND($H$14*$E$14,0)</f>
        <v>0</v>
      </c>
      <c r="H14" s="118" cm="1">
        <f t="array" ref="H14">SATURATION(IFERROR(AVERAGE(_xlfn._xlws.FILTER(_xlfn.ANCHORARRAY($I$14),TRANSPOSE(helper_UNTERNEHMUNG!$B$56:$B$70)=1)),0),-1,1)</f>
        <v>0</v>
      </c>
      <c r="I14" s="118" cm="1">
        <f t="array" ref="I14:W14">_xlfn.LET(_xlpm.last_Val, UNTERNEHMUNG!$P$44:$P$58,_xlpm.table,TRANSPOSE(_xlfn.HSTACK(UNTERNEHMUNG!$D$44:$D$58,UNTERNEHMUNG!$F$44:$F$58,UNTERNEHMUNG!$I$44:$I$58,UNTERNEHMUNG!$M$44:$M$58,_xlpm.last_Val)),
_xlpm.mean_diff,TRANSPOSE((_xlfn.DROP(_xlpm.table,1)-_xlfn.DROP(_xlpm.table,-1))/_xlfn.BYCOL(_xlpm.table,_xleta.MAX)),
_xlpm.result,_xlfn.BYROW(_xlpm.mean_diff,_xlfn.LAMBDA(_xlpm.row,SATURATION(-SIGN(SUM(_xlpm.row))+SUM(ABS(_xlpm.row))-1,-1,1))),
_xlpm.fac,TRANSPOSE(IFERROR(_xlpm.result,0)),
_xlpm.fac)</f>
        <v>0</v>
      </c>
      <c r="J14" s="118">
        <v>0</v>
      </c>
      <c r="K14" s="118">
        <v>0</v>
      </c>
      <c r="L14" s="118">
        <v>0</v>
      </c>
      <c r="M14" s="118">
        <v>0</v>
      </c>
      <c r="N14" s="118">
        <v>0</v>
      </c>
      <c r="O14" s="118">
        <v>0</v>
      </c>
      <c r="P14" s="118">
        <v>0</v>
      </c>
      <c r="Q14" s="118">
        <v>0</v>
      </c>
      <c r="R14" s="118">
        <v>0</v>
      </c>
      <c r="S14" s="118">
        <v>0</v>
      </c>
      <c r="T14" s="118">
        <v>0</v>
      </c>
      <c r="U14" s="118">
        <v>0</v>
      </c>
      <c r="V14" s="118">
        <v>0</v>
      </c>
      <c r="W14" s="118">
        <v>0</v>
      </c>
    </row>
    <row r="15" spans="1:23" x14ac:dyDescent="0.25">
      <c r="A15" s="205" t="s">
        <v>74</v>
      </c>
    </row>
    <row r="16" spans="1:23" x14ac:dyDescent="0.25">
      <c r="A16" s="118" t="s">
        <v>422</v>
      </c>
      <c r="B16" s="118" t="b">
        <v>0</v>
      </c>
      <c r="C16" s="118" t="b">
        <v>1</v>
      </c>
      <c r="D16" s="118">
        <v>0</v>
      </c>
      <c r="E16" s="118">
        <v>0</v>
      </c>
      <c r="G16" s="118">
        <v>0</v>
      </c>
      <c r="H16" s="118">
        <f>UNTERNEHMUNG!$H$62</f>
        <v>0</v>
      </c>
    </row>
    <row r="17" spans="1:12" x14ac:dyDescent="0.25">
      <c r="A17" s="118" t="s">
        <v>423</v>
      </c>
      <c r="B17" s="118" t="b">
        <v>0</v>
      </c>
      <c r="C17" s="118" t="b">
        <v>1</v>
      </c>
      <c r="D17" s="118">
        <v>0</v>
      </c>
      <c r="E17" s="118">
        <v>0</v>
      </c>
      <c r="G17" s="118">
        <v>0</v>
      </c>
      <c r="H17" s="118">
        <f>UNTERNEHMUNG!$H$64</f>
        <v>0</v>
      </c>
    </row>
    <row r="18" spans="1:12" x14ac:dyDescent="0.25">
      <c r="A18" s="118" t="s">
        <v>424</v>
      </c>
      <c r="B18" s="118" t="b">
        <v>0</v>
      </c>
      <c r="C18" s="118" t="b">
        <v>1</v>
      </c>
      <c r="D18" s="118">
        <v>0</v>
      </c>
      <c r="E18" s="118">
        <v>0</v>
      </c>
      <c r="G18" s="118">
        <v>0</v>
      </c>
      <c r="H18" s="118">
        <f>UNTERNEHMUNG!$H$66</f>
        <v>0</v>
      </c>
    </row>
    <row r="19" spans="1:12" x14ac:dyDescent="0.25">
      <c r="A19" s="118" t="s">
        <v>308</v>
      </c>
      <c r="B19" s="118" t="b">
        <v>0</v>
      </c>
      <c r="C19" s="118" t="b">
        <f>helper_UNTERNEHMUNG!$B73 = 1</f>
        <v>0</v>
      </c>
      <c r="D19" s="118">
        <v>0</v>
      </c>
      <c r="E19" s="118">
        <v>0</v>
      </c>
      <c r="F19" s="118" t="s">
        <v>309</v>
      </c>
      <c r="G19" s="118">
        <f>$E$19</f>
        <v>0</v>
      </c>
    </row>
    <row r="20" spans="1:12" x14ac:dyDescent="0.25">
      <c r="A20" s="205" t="s">
        <v>352</v>
      </c>
      <c r="E20" s="118" cm="1">
        <f t="array" ref="E20">SUM(E$4:E$19*((NOT($B$4:$B$19)+($B$4:$B$19*$C$4:$C$19))&gt;0))</f>
        <v>25</v>
      </c>
      <c r="G20" s="118">
        <f>IF(UNTERNEHMUNG_FILLED,MAX(0,SUM($G$4:$G$19)),0)</f>
        <v>0</v>
      </c>
      <c r="H20" s="118">
        <f>$G20/$E20</f>
        <v>0</v>
      </c>
    </row>
    <row r="21" spans="1:12" x14ac:dyDescent="0.25">
      <c r="A21" s="204" t="s">
        <v>28</v>
      </c>
      <c r="B21" s="118" t="s">
        <v>357</v>
      </c>
      <c r="D21" s="118">
        <v>2</v>
      </c>
    </row>
    <row r="22" spans="1:12" x14ac:dyDescent="0.25">
      <c r="A22" s="205" t="s">
        <v>31</v>
      </c>
    </row>
    <row r="23" spans="1:12" x14ac:dyDescent="0.25">
      <c r="A23" s="118" t="s">
        <v>384</v>
      </c>
      <c r="B23" s="118" t="b">
        <v>0</v>
      </c>
      <c r="C23" s="118" t="b">
        <f>helper_ENERGIETECHNIK!$B5 = 1</f>
        <v>0</v>
      </c>
      <c r="D23" s="118">
        <v>0</v>
      </c>
      <c r="E23" s="118">
        <v>5</v>
      </c>
      <c r="G23" s="118">
        <f>MAX(0,helper_ENERGIETECHNIK!$C5-1)*($E23-1) + helper_ENERGIETECHNIK!$D5</f>
        <v>0</v>
      </c>
    </row>
    <row r="24" spans="1:12" x14ac:dyDescent="0.25">
      <c r="A24" s="118" t="s">
        <v>385</v>
      </c>
      <c r="B24" s="118" t="b">
        <v>0</v>
      </c>
      <c r="C24" s="118" t="b">
        <f>helper_ENERGIETECHNIK!$B6 = 1</f>
        <v>0</v>
      </c>
      <c r="D24" s="118">
        <v>0</v>
      </c>
      <c r="E24" s="118">
        <v>5</v>
      </c>
      <c r="G24" s="118">
        <f>MAX(0,helper_ENERGIETECHNIK!$C6-1)*($E24-1) + helper_ENERGIETECHNIK!$D6</f>
        <v>0</v>
      </c>
    </row>
    <row r="25" spans="1:12" x14ac:dyDescent="0.25">
      <c r="A25" s="118" t="s">
        <v>386</v>
      </c>
      <c r="B25" s="118" t="b">
        <v>0</v>
      </c>
      <c r="C25" s="118" t="b">
        <f>helper_ENERGIETECHNIK!$B7 = 1</f>
        <v>0</v>
      </c>
      <c r="D25" s="118">
        <v>0</v>
      </c>
      <c r="E25" s="118">
        <v>5</v>
      </c>
      <c r="G25" s="118">
        <f>MAX(0,helper_ENERGIETECHNIK!$C7-1)*($E25-1) + helper_ENERGIETECHNIK!$D7</f>
        <v>0</v>
      </c>
    </row>
    <row r="26" spans="1:12" x14ac:dyDescent="0.25">
      <c r="A26" s="118" t="s">
        <v>387</v>
      </c>
      <c r="B26" s="118" t="b">
        <v>0</v>
      </c>
      <c r="C26" s="118" t="b">
        <f>helper_ENERGIETECHNIK!$B8 = 1</f>
        <v>0</v>
      </c>
      <c r="D26" s="118">
        <v>0</v>
      </c>
      <c r="E26" s="118">
        <v>5</v>
      </c>
      <c r="G26" s="118">
        <f>MAX(0,helper_ENERGIETECHNIK!$C8-1)*($E26-1) + helper_ENERGIETECHNIK!$D8</f>
        <v>0</v>
      </c>
    </row>
    <row r="27" spans="1:12" x14ac:dyDescent="0.25">
      <c r="A27" s="118" t="s">
        <v>388</v>
      </c>
      <c r="B27" s="118" t="b">
        <v>0</v>
      </c>
      <c r="C27" s="118" t="b">
        <f>helper_ENERGIETECHNIK!$B9 = 1</f>
        <v>0</v>
      </c>
      <c r="D27" s="118">
        <v>0</v>
      </c>
      <c r="E27" s="118">
        <v>5</v>
      </c>
      <c r="G27" s="118">
        <f>MAX(0,helper_ENERGIETECHNIK!$C9-1)*($E27-1) + helper_ENERGIETECHNIK!$D9</f>
        <v>0</v>
      </c>
    </row>
    <row r="28" spans="1:12" x14ac:dyDescent="0.25">
      <c r="A28" s="205" t="s">
        <v>39</v>
      </c>
    </row>
    <row r="29" spans="1:12" x14ac:dyDescent="0.25">
      <c r="A29" s="118" t="s">
        <v>44</v>
      </c>
      <c r="B29" s="118" t="b">
        <v>0</v>
      </c>
      <c r="C29" s="118" t="b">
        <f>NOT(ENERGIETECHNIK!$G24=0)</f>
        <v>0</v>
      </c>
      <c r="D29" s="118">
        <v>0</v>
      </c>
      <c r="E29" s="118">
        <v>0</v>
      </c>
      <c r="G29" s="118">
        <v>0</v>
      </c>
      <c r="H29" s="206">
        <f>ENERGIETECHNIK!$G24</f>
        <v>0</v>
      </c>
      <c r="I29" s="207">
        <f>IF($H$39=0,0,$H29/$H$39)</f>
        <v>0</v>
      </c>
      <c r="J29" s="118">
        <f>$H29/8760</f>
        <v>0</v>
      </c>
      <c r="K29" s="118">
        <f>IF($I29&gt;0,LN($I29),0)</f>
        <v>0</v>
      </c>
      <c r="L29" s="118">
        <f>-$I29*$K29</f>
        <v>0</v>
      </c>
    </row>
    <row r="30" spans="1:12" x14ac:dyDescent="0.25">
      <c r="A30" s="118" t="s">
        <v>45</v>
      </c>
      <c r="B30" s="118" t="b">
        <v>1</v>
      </c>
      <c r="C30" s="118" t="b">
        <f>NOT(ENERGIETECHNIK!$G25=0)</f>
        <v>0</v>
      </c>
      <c r="D30" s="118">
        <v>0</v>
      </c>
      <c r="E30" s="118">
        <v>0</v>
      </c>
      <c r="G30" s="118">
        <v>0</v>
      </c>
      <c r="H30" s="206">
        <f>ENERGIETECHNIK!$G25</f>
        <v>0</v>
      </c>
      <c r="I30" s="207">
        <f t="shared" ref="I30:I35" si="0">IF($H$39=0,0,$H30/$H$39)</f>
        <v>0</v>
      </c>
      <c r="J30" s="118">
        <f t="shared" ref="J30:J35" si="1">$H30/8760</f>
        <v>0</v>
      </c>
      <c r="K30" s="118">
        <f t="shared" ref="K30:K35" si="2">IF($I30&gt;0,LN($I30),0)</f>
        <v>0</v>
      </c>
      <c r="L30" s="118">
        <f t="shared" ref="L30:L35" si="3">-$I30*$K30</f>
        <v>0</v>
      </c>
    </row>
    <row r="31" spans="1:12" x14ac:dyDescent="0.25">
      <c r="A31" s="118" t="s">
        <v>46</v>
      </c>
      <c r="B31" s="118" t="b">
        <v>1</v>
      </c>
      <c r="C31" s="118" t="b">
        <f>NOT(ENERGIETECHNIK!$G26=0)</f>
        <v>0</v>
      </c>
      <c r="D31" s="118">
        <v>0</v>
      </c>
      <c r="E31" s="118">
        <v>0</v>
      </c>
      <c r="G31" s="118">
        <v>0</v>
      </c>
      <c r="H31" s="206">
        <f>ENERGIETECHNIK!$G26</f>
        <v>0</v>
      </c>
      <c r="I31" s="207">
        <f t="shared" si="0"/>
        <v>0</v>
      </c>
      <c r="J31" s="118">
        <f t="shared" si="1"/>
        <v>0</v>
      </c>
      <c r="K31" s="118">
        <f t="shared" si="2"/>
        <v>0</v>
      </c>
      <c r="L31" s="118">
        <f t="shared" si="3"/>
        <v>0</v>
      </c>
    </row>
    <row r="32" spans="1:12" x14ac:dyDescent="0.25">
      <c r="A32" s="118" t="s">
        <v>47</v>
      </c>
      <c r="B32" s="118" t="b">
        <v>1</v>
      </c>
      <c r="C32" s="118" t="b">
        <f>NOT(ENERGIETECHNIK!$G27=0)</f>
        <v>0</v>
      </c>
      <c r="D32" s="118">
        <v>0</v>
      </c>
      <c r="E32" s="118">
        <v>0</v>
      </c>
      <c r="G32" s="118">
        <v>0</v>
      </c>
      <c r="H32" s="206">
        <f>ENERGIETECHNIK!$G27</f>
        <v>0</v>
      </c>
      <c r="I32" s="207">
        <f t="shared" si="0"/>
        <v>0</v>
      </c>
      <c r="J32" s="118">
        <f t="shared" si="1"/>
        <v>0</v>
      </c>
      <c r="K32" s="118">
        <f t="shared" si="2"/>
        <v>0</v>
      </c>
      <c r="L32" s="118">
        <f t="shared" si="3"/>
        <v>0</v>
      </c>
    </row>
    <row r="33" spans="1:20" x14ac:dyDescent="0.25">
      <c r="A33" s="118" t="s">
        <v>417</v>
      </c>
      <c r="B33" s="118" t="b">
        <v>1</v>
      </c>
      <c r="C33" s="118" t="b">
        <f>NOT(ENERGIETECHNIK!$G28=0)</f>
        <v>0</v>
      </c>
      <c r="D33" s="118">
        <v>0</v>
      </c>
      <c r="E33" s="118">
        <v>0</v>
      </c>
      <c r="G33" s="118">
        <v>0</v>
      </c>
      <c r="H33" s="206">
        <f>ENERGIETECHNIK!$G28</f>
        <v>0</v>
      </c>
      <c r="I33" s="207">
        <f t="shared" si="0"/>
        <v>0</v>
      </c>
      <c r="J33" s="118">
        <f t="shared" si="1"/>
        <v>0</v>
      </c>
      <c r="K33" s="118">
        <f t="shared" si="2"/>
        <v>0</v>
      </c>
      <c r="L33" s="118">
        <f t="shared" si="3"/>
        <v>0</v>
      </c>
    </row>
    <row r="34" spans="1:20" x14ac:dyDescent="0.25">
      <c r="A34" s="118" t="s">
        <v>418</v>
      </c>
      <c r="B34" s="118" t="b">
        <v>1</v>
      </c>
      <c r="C34" s="118" t="b">
        <f>NOT(ENERGIETECHNIK!$G29=0)</f>
        <v>0</v>
      </c>
      <c r="D34" s="118">
        <v>0</v>
      </c>
      <c r="E34" s="118">
        <v>0</v>
      </c>
      <c r="G34" s="118">
        <v>0</v>
      </c>
      <c r="H34" s="206">
        <f>ENERGIETECHNIK!$G29</f>
        <v>0</v>
      </c>
      <c r="I34" s="207">
        <f t="shared" si="0"/>
        <v>0</v>
      </c>
      <c r="J34" s="118">
        <f t="shared" si="1"/>
        <v>0</v>
      </c>
      <c r="K34" s="118">
        <f t="shared" si="2"/>
        <v>0</v>
      </c>
      <c r="L34" s="118">
        <f t="shared" si="3"/>
        <v>0</v>
      </c>
    </row>
    <row r="35" spans="1:20" x14ac:dyDescent="0.25">
      <c r="A35" s="118" t="s">
        <v>48</v>
      </c>
      <c r="B35" s="118" t="b">
        <v>1</v>
      </c>
      <c r="C35" s="118" t="b">
        <f>NOT(ENERGIETECHNIK!$G30=0)</f>
        <v>0</v>
      </c>
      <c r="D35" s="118">
        <v>0</v>
      </c>
      <c r="E35" s="118">
        <v>0</v>
      </c>
      <c r="G35" s="118">
        <v>0</v>
      </c>
      <c r="H35" s="206">
        <f>ENERGIETECHNIK!$G30</f>
        <v>0</v>
      </c>
      <c r="I35" s="207">
        <f t="shared" si="0"/>
        <v>0</v>
      </c>
      <c r="J35" s="118">
        <f t="shared" si="1"/>
        <v>0</v>
      </c>
      <c r="K35" s="118">
        <f t="shared" si="2"/>
        <v>0</v>
      </c>
      <c r="L35" s="118">
        <f t="shared" si="3"/>
        <v>0</v>
      </c>
    </row>
    <row r="36" spans="1:20" x14ac:dyDescent="0.25">
      <c r="A36" s="118" t="s">
        <v>80</v>
      </c>
      <c r="B36" s="118" t="b">
        <v>1</v>
      </c>
      <c r="C36" s="118" t="b">
        <f>NOT(ENERGIETECHNIK!$C$34="")</f>
        <v>0</v>
      </c>
      <c r="D36" s="118">
        <v>0</v>
      </c>
      <c r="E36" s="118">
        <v>0</v>
      </c>
      <c r="F36" s="118" t="s">
        <v>517</v>
      </c>
    </row>
    <row r="37" spans="1:20" x14ac:dyDescent="0.25">
      <c r="A37" s="118" t="s">
        <v>481</v>
      </c>
      <c r="B37" s="118" t="b">
        <v>1</v>
      </c>
      <c r="C37" s="118" t="b">
        <v>0</v>
      </c>
      <c r="D37" s="118">
        <v>0</v>
      </c>
      <c r="E37" s="118">
        <v>0</v>
      </c>
      <c r="G37" s="118">
        <v>0</v>
      </c>
      <c r="H37" s="206">
        <f>$H$29</f>
        <v>0</v>
      </c>
      <c r="I37" s="207"/>
    </row>
    <row r="38" spans="1:20" x14ac:dyDescent="0.25">
      <c r="A38" s="118" t="s">
        <v>482</v>
      </c>
      <c r="B38" s="118" t="b">
        <v>1</v>
      </c>
      <c r="C38" s="118" t="b">
        <v>0</v>
      </c>
      <c r="D38" s="118">
        <v>0</v>
      </c>
      <c r="E38" s="118">
        <v>0</v>
      </c>
      <c r="G38" s="118">
        <v>0</v>
      </c>
      <c r="H38" s="206">
        <f>SUM($H$30:$H$35)</f>
        <v>0</v>
      </c>
      <c r="I38" s="207"/>
    </row>
    <row r="39" spans="1:20" x14ac:dyDescent="0.25">
      <c r="A39" s="118" t="s">
        <v>419</v>
      </c>
      <c r="B39" s="118" t="b">
        <v>0</v>
      </c>
      <c r="C39" s="118" t="b">
        <v>1</v>
      </c>
      <c r="D39" s="118">
        <v>0</v>
      </c>
      <c r="E39" s="118">
        <v>0</v>
      </c>
      <c r="G39" s="118">
        <v>0</v>
      </c>
      <c r="H39" s="206">
        <f>ENERGIETECHNIK!$G31</f>
        <v>0</v>
      </c>
    </row>
    <row r="40" spans="1:20" x14ac:dyDescent="0.25">
      <c r="A40" s="118" t="s">
        <v>483</v>
      </c>
      <c r="B40" s="118" t="b">
        <v>0</v>
      </c>
      <c r="C40" s="118" t="b">
        <v>1</v>
      </c>
      <c r="D40" s="118">
        <v>0</v>
      </c>
      <c r="E40" s="118">
        <v>5</v>
      </c>
      <c r="G40" s="206" cm="1">
        <f t="array" ref="G40">CEILING(SATURATION(AVERAGE($H$40:$I$40),0,1)*E40,1)*$J$40</f>
        <v>0</v>
      </c>
      <c r="H40" s="206">
        <f>IF($H$38=0,0,$H$44/$H$37)</f>
        <v>0</v>
      </c>
      <c r="I40" s="118">
        <f>IF($H$38=0,0,$H$45/$H$38)</f>
        <v>0</v>
      </c>
      <c r="J40" s="118" t="b">
        <f>$H$46&gt;=$H$39</f>
        <v>1</v>
      </c>
    </row>
    <row r="41" spans="1:20" x14ac:dyDescent="0.25">
      <c r="A41" s="118" t="s">
        <v>421</v>
      </c>
      <c r="B41" s="118" t="b">
        <v>0</v>
      </c>
      <c r="C41" s="118" t="b">
        <v>1</v>
      </c>
      <c r="D41" s="118">
        <v>0</v>
      </c>
      <c r="E41" s="118">
        <v>5</v>
      </c>
      <c r="F41" s="118" t="s">
        <v>420</v>
      </c>
      <c r="G41" s="118">
        <f>CEILING($I$41*$J$41*$E$41,1)</f>
        <v>0</v>
      </c>
      <c r="H41" s="118">
        <f>COUNTIF($C$29:$C$35,TRUE)</f>
        <v>0</v>
      </c>
      <c r="I41" s="118">
        <f>$H41/COUNTA($C$29:$C$35)</f>
        <v>0</v>
      </c>
      <c r="J41" s="118">
        <f>IF($H$41&gt;1,SUM($L$29:$L$35)/LN($H$41),0)</f>
        <v>0</v>
      </c>
    </row>
    <row r="42" spans="1:20" x14ac:dyDescent="0.25">
      <c r="A42" s="118" t="s">
        <v>77</v>
      </c>
      <c r="B42" s="118" t="b">
        <v>0</v>
      </c>
      <c r="C42" s="118" t="b">
        <f>helper_ENERGIETECHNIK!B14=1</f>
        <v>0</v>
      </c>
      <c r="D42" s="118">
        <v>0</v>
      </c>
      <c r="E42" s="118">
        <v>5</v>
      </c>
      <c r="G42" s="206" cm="1">
        <f t="array" ref="G42">CEILING(SATURATION((IF($J29=0,0,1-$H42/$J29))/0.5,0,1)*E42,1)</f>
        <v>0</v>
      </c>
      <c r="H42" s="206">
        <f>ENERGIETECHNIK!$G32</f>
        <v>0</v>
      </c>
    </row>
    <row r="43" spans="1:20" x14ac:dyDescent="0.25">
      <c r="A43" s="205" t="s">
        <v>81</v>
      </c>
    </row>
    <row r="44" spans="1:20" x14ac:dyDescent="0.25">
      <c r="A44" s="118" t="s">
        <v>410</v>
      </c>
      <c r="B44" s="118" t="b">
        <v>0</v>
      </c>
      <c r="C44" s="118" t="b">
        <v>1</v>
      </c>
      <c r="D44" s="118">
        <v>0</v>
      </c>
      <c r="E44" s="118">
        <v>0</v>
      </c>
      <c r="F44" s="118" t="s">
        <v>411</v>
      </c>
      <c r="G44" s="118">
        <v>0</v>
      </c>
      <c r="H44" s="118" cm="1">
        <f t="array" ref="H44">SUM(_xlfn._xlws.FILTER(ENERGIETECHNIK!$E$38:$E$67,ENERGIETECHNIK!$F$38:$F$67="MWelh/a",0))</f>
        <v>0</v>
      </c>
    </row>
    <row r="45" spans="1:20" x14ac:dyDescent="0.25">
      <c r="A45" s="118" t="s">
        <v>412</v>
      </c>
      <c r="B45" s="118" t="b">
        <v>0</v>
      </c>
      <c r="C45" s="118" t="b">
        <v>1</v>
      </c>
      <c r="D45" s="118">
        <v>0</v>
      </c>
      <c r="E45" s="118">
        <v>0</v>
      </c>
      <c r="F45" s="118" t="s">
        <v>413</v>
      </c>
      <c r="G45" s="118">
        <v>0</v>
      </c>
      <c r="H45" s="118" cm="1">
        <f t="array" ref="H45">SUM(_xlfn._xlws.FILTER(ENERGIETECHNIK!$E$38:$E$67,ENERGIETECHNIK!$F$38:$F$67="MWthh/a",0))</f>
        <v>0</v>
      </c>
    </row>
    <row r="46" spans="1:20" x14ac:dyDescent="0.25">
      <c r="A46" s="118" t="s">
        <v>477</v>
      </c>
      <c r="B46" s="118" t="b">
        <v>0</v>
      </c>
      <c r="C46" s="118" t="b">
        <v>1</v>
      </c>
      <c r="D46" s="118">
        <v>0</v>
      </c>
      <c r="E46" s="118">
        <v>0</v>
      </c>
      <c r="G46" s="118">
        <v>0</v>
      </c>
      <c r="H46" s="118">
        <f>$H$44+$H$45</f>
        <v>0</v>
      </c>
    </row>
    <row r="47" spans="1:20" x14ac:dyDescent="0.25">
      <c r="A47" s="118" t="s">
        <v>486</v>
      </c>
      <c r="B47" s="118" t="b">
        <v>0</v>
      </c>
      <c r="C47" s="118" t="b">
        <f>helper_ENERGIETECHNIK!B18=1</f>
        <v>0</v>
      </c>
      <c r="D47" s="118">
        <v>0</v>
      </c>
      <c r="E47" s="118">
        <v>5</v>
      </c>
      <c r="G47" s="118" cm="1">
        <f t="array" ref="G47">SATURATION(_xlfn.IFS($J$47&lt;=0,0,$J$47&lt;=3,2,$J$47&lt;=5,1,$J$47&gt;7,0)+2*$L$47-2*$K$47+MAX(0,COUNTIF($K$47:$M$47,TRUE)-1)*2+($I$47&lt;=0.6)+IF($N$47=0,0,MAX(0,3-$N$47)),$D47,$E47)</f>
        <v>0</v>
      </c>
      <c r="H47" s="206">
        <f>ENERGIETECHNIK!$E$40</f>
        <v>0</v>
      </c>
      <c r="I47" s="118">
        <f>IF($H$37=0,1,H47/$H$37)</f>
        <v>1</v>
      </c>
      <c r="J47" s="118">
        <f>ENERGIETECHNIK!$M$38</f>
        <v>0</v>
      </c>
      <c r="K47" s="118" t="b">
        <f>helper_ENERGIETECHNIK!C$18</f>
        <v>0</v>
      </c>
      <c r="L47" s="118" t="b">
        <f>helper_ENERGIETECHNIK!D$18</f>
        <v>0</v>
      </c>
      <c r="M47" s="118" t="b">
        <f>helper_ENERGIETECHNIK!E$18</f>
        <v>0</v>
      </c>
      <c r="N47" s="118">
        <f>helper_ENERGIETECHNIK!$C$19</f>
        <v>0</v>
      </c>
      <c r="Q47" s="118" t="str">
        <f>IF($I47&lt;=0.6,"", "Netzbedarf ("&amp;MIN(100,ROUND($I47*100,0))&amp;IF($I47&gt;1,"+","")&amp;"%) reduzieren")</f>
        <v>Netzbedarf (100%) reduzieren</v>
      </c>
      <c r="R47" s="118" t="str">
        <f>IF(COUNTIF($K$47:$M$47,TRUE)=1,"Abrechnung diversifizieren","")</f>
        <v/>
      </c>
      <c r="S47" s="118" t="str">
        <f>IF(NOT($L$47),"Regelmarkt Teilnahme","")</f>
        <v>Regelmarkt Teilnahme</v>
      </c>
      <c r="T47" s="118" t="str">
        <f>IF(NOT(N47=1),"Abrechnungsinterval erhöhen","")</f>
        <v>Abrechnungsinterval erhöhen</v>
      </c>
    </row>
    <row r="48" spans="1:20" x14ac:dyDescent="0.25">
      <c r="A48" s="118" t="s">
        <v>95</v>
      </c>
      <c r="B48" s="118" t="b">
        <v>1</v>
      </c>
      <c r="C48" s="118" t="b">
        <f>helper_ENERGIETECHNIK!B22=1</f>
        <v>0</v>
      </c>
      <c r="D48" s="118">
        <v>0</v>
      </c>
      <c r="E48" s="118">
        <v>5</v>
      </c>
      <c r="G48" s="118" cm="1">
        <f t="array" ref="G48">SATURATION($C48+2*($I$48&gt;=0.4)+$L$48+2*$M$48,$D48,$E48)</f>
        <v>0</v>
      </c>
      <c r="H48" s="206">
        <f>ENERGIETECHNIK!$E$45</f>
        <v>0</v>
      </c>
      <c r="I48" s="118">
        <f>IF($H$37=0,0,H48/$H$37)</f>
        <v>0</v>
      </c>
      <c r="J48" s="118">
        <f>ENERGIETECHNIK!$M$44</f>
        <v>0</v>
      </c>
      <c r="K48" s="118">
        <f>ENERGIETECHNIK!$M$45</f>
        <v>0</v>
      </c>
      <c r="L48" s="118" t="b">
        <f>helper_ENERGIETECHNIK!$D$22</f>
        <v>0</v>
      </c>
      <c r="M48" s="118" t="b">
        <f>helper_ENERGIETECHNIK!$D$23</f>
        <v>0</v>
      </c>
      <c r="N48" s="118">
        <v>1000</v>
      </c>
      <c r="O48" s="118">
        <f>IF(OR($J$48=0,$K$48=0),0,$H$48/($J$48*$K$48*$N48))</f>
        <v>0</v>
      </c>
      <c r="P48" s="118">
        <f>IF(OR($O$48=0,$J$48=0),0,0.4*$H$37/(MIN(1,$O$48)*$J$48*$N$48))</f>
        <v>0</v>
      </c>
      <c r="Q48" s="118" t="str">
        <f>IF($I48&gt;=0.4,"", "Bedarfsanteil ("&amp;MIN(100,ROUND($I48*100,0))&amp;IF($I48&gt;1,"+","")&amp;"%) erhöhen")</f>
        <v>Bedarfsanteil (0%) erhöhen</v>
      </c>
      <c r="R48" s="118" t="str">
        <f>IF($O48&gt;0.9,"", "Effizienz ("&amp;MIN(100,ROUND($O48*100,0))&amp;IF($O48&gt;1,"+","")&amp;"%) erhöhen")</f>
        <v>Effizienz (0%) erhöhen</v>
      </c>
      <c r="S48" s="118" t="str">
        <f>IF($I48&gt;=0.4,"", "Bedarfsdeckung von 40% mit "&amp;$P$48&amp;"m² erreichbar")</f>
        <v>Bedarfsdeckung von 40% mit 0m² erreichbar</v>
      </c>
    </row>
    <row r="49" spans="1:19" x14ac:dyDescent="0.25">
      <c r="A49" s="118" t="s">
        <v>96</v>
      </c>
      <c r="B49" s="118" t="b">
        <v>1</v>
      </c>
      <c r="C49" s="118" t="b">
        <f>helper_ENERGIETECHNIK!B24=1</f>
        <v>0</v>
      </c>
      <c r="D49" s="118">
        <v>0</v>
      </c>
      <c r="E49" s="118">
        <v>5</v>
      </c>
      <c r="G49" s="118" cm="1">
        <f t="array" ref="G49">SATURATION($C49+2*$K$49+($I$49&gt;0.2)+(I50&gt;0.2),$D49,$E49)</f>
        <v>0</v>
      </c>
      <c r="H49" s="206">
        <f>ENERGIETECHNIK!$E$50</f>
        <v>0</v>
      </c>
      <c r="I49" s="118">
        <f>IF($H$37=0,0,H49/$H$37)</f>
        <v>0</v>
      </c>
      <c r="J49" s="118">
        <f>ENERGIETECHNIK!$L$49</f>
        <v>0</v>
      </c>
      <c r="K49" s="118">
        <f>_xlfn.IFNA(VLOOKUP($J$49,helper_ENERGIETECHNIK!$A$41:$B$51,2,FALSE),0)</f>
        <v>0</v>
      </c>
      <c r="L49" s="118">
        <f>ENERGIETECHNIK!$M$50</f>
        <v>0</v>
      </c>
      <c r="Q49" s="118" t="str">
        <f>IF(AND($I49&gt;=0.2,$I50&gt;0.2),"", "Bedarfsanteil ("&amp;_xlfn.TEXTJOIN("% ",TRUE,IF($I49&lt;0.2,"el.: "&amp;ROUND($I49*100,0),""),IF($I50&lt;0.2,"th.: "&amp;ROUND($I50*100,0),""))&amp;"%) erhöhen")</f>
        <v>Bedarfsanteil (el.: 0% th.: 0%) erhöhen</v>
      </c>
      <c r="R49" s="118" t="str">
        <f>IF($K49=1,"", "Brennstoffwechsel ("&amp;$J49&amp;")")</f>
        <v>Brennstoffwechsel (0)</v>
      </c>
      <c r="S49" s="118" t="str">
        <f>IF(AND($L49&gt;=0.5,$L50&gt;=0.5),"", "Wirkungsgrad ("&amp;_xlfn.TEXTJOIN(" ",TRUE,IF($L49&lt;0.5,"el.: "&amp;ROUND($L49*100,0)&amp;"%",""),IF($L50&lt;0.5,"th.: "&amp;ROUND($L50*100,0),""))&amp;"%) optimieren")</f>
        <v>Wirkungsgrad (el.: 0% th.: 0%) optimieren</v>
      </c>
    </row>
    <row r="50" spans="1:19" x14ac:dyDescent="0.25">
      <c r="A50" s="118" t="s">
        <v>502</v>
      </c>
      <c r="B50" s="118" t="b">
        <v>1</v>
      </c>
      <c r="C50" s="118" t="b">
        <f>helper_ENERGIETECHNIK!B24=1</f>
        <v>0</v>
      </c>
      <c r="D50" s="118">
        <v>0</v>
      </c>
      <c r="E50" s="118">
        <v>0</v>
      </c>
      <c r="H50" s="206">
        <f>ENERGIETECHNIK!$E$51</f>
        <v>0</v>
      </c>
      <c r="I50" s="118">
        <f>IF($H$38=0,0,H50/$H$38)</f>
        <v>0</v>
      </c>
      <c r="L50" s="118">
        <f>ENERGIETECHNIK!$M$51</f>
        <v>0</v>
      </c>
    </row>
    <row r="51" spans="1:19" x14ac:dyDescent="0.25">
      <c r="A51" s="118" t="s">
        <v>97</v>
      </c>
      <c r="B51" s="118" t="b">
        <v>1</v>
      </c>
      <c r="C51" s="118" t="b">
        <f>helper_ENERGIETECHNIK!B25=1</f>
        <v>0</v>
      </c>
      <c r="D51" s="118">
        <v>0</v>
      </c>
      <c r="E51" s="118">
        <v>5</v>
      </c>
      <c r="G51" s="118" cm="1">
        <f t="array" ref="G51">SATURATION($C51+($I$51&lt;=0.6)+$K$51+$L$51+($M$51&gt;=1.5),$D51,$E51)</f>
        <v>0</v>
      </c>
      <c r="H51" s="206">
        <f>ENERGIETECHNIK!$E$55</f>
        <v>0</v>
      </c>
      <c r="I51" s="118">
        <f>IF($H$38=0,1,H51/$H$38)</f>
        <v>1</v>
      </c>
      <c r="J51" s="118">
        <f>ENERGIETECHNIK!$M$56</f>
        <v>0</v>
      </c>
      <c r="K51" s="118" t="b">
        <f>helper_ENERGIETECHNIK!$D$25</f>
        <v>0</v>
      </c>
      <c r="L51" s="118" t="b">
        <f>helper_ENERGIETECHNIK!$D$26</f>
        <v>0</v>
      </c>
      <c r="M51" s="118">
        <f>IF($H$38=0,0,$J$51*8760/$H$38)</f>
        <v>0</v>
      </c>
      <c r="Q51" s="118" t="str">
        <f>IF($I51&lt;=0.6,"", "Netzbedarf ("&amp;MIN(100,ROUND($I51*100,0))&amp;IF($I51&gt;1,"+","")&amp;"%) reduzieren")</f>
        <v>Netzbedarf (100%) reduzieren</v>
      </c>
      <c r="R51" s="118" t="str">
        <f>IF(COUNTIF($K$51:$L$51,TRUE)=1,"Anlieferung diversifizieren","")</f>
        <v/>
      </c>
      <c r="S51" s="118" t="str">
        <f>IF($M$51&gt;1.5,"","Anschlussleistung ("&amp;$J$51&amp;"MW) erhöhen")</f>
        <v>Anschlussleistung (0MW) erhöhen</v>
      </c>
    </row>
    <row r="52" spans="1:19" x14ac:dyDescent="0.25">
      <c r="A52" s="118" t="s">
        <v>98</v>
      </c>
      <c r="B52" s="118" t="b">
        <v>1</v>
      </c>
      <c r="C52" s="118" t="b">
        <f>helper_ENERGIETECHNIK!B27=1</f>
        <v>0</v>
      </c>
      <c r="D52" s="118">
        <v>0</v>
      </c>
      <c r="E52" s="118">
        <v>5</v>
      </c>
      <c r="G52" s="118" cm="1">
        <f t="array" ref="G52">SATURATION($C52+($I$52&lt;=0.6)+$L$52+$M$52+($K$52&gt;0)+($N$52&gt;=1.5),$D52,$E52)</f>
        <v>0</v>
      </c>
      <c r="H52" s="206">
        <f>ENERGIETECHNIK!$E$60</f>
        <v>0</v>
      </c>
      <c r="I52" s="118">
        <f>IF($H$38=0,1,H52/$H$38)</f>
        <v>1</v>
      </c>
      <c r="J52" s="118">
        <f>ENERGIETECHNIK!$M$59</f>
        <v>0</v>
      </c>
      <c r="K52" s="118">
        <f>ENERGIETECHNIK!$M$60</f>
        <v>0</v>
      </c>
      <c r="L52" s="118" t="b">
        <f>helper_ENERGIETECHNIK!$D$27</f>
        <v>0</v>
      </c>
      <c r="M52" s="118" t="b">
        <f>helper_ENERGIETECHNIK!$D$28</f>
        <v>0</v>
      </c>
      <c r="N52" s="118">
        <f>IF($H$38=0,0,$J$52*8760/$H$38)</f>
        <v>0</v>
      </c>
      <c r="Q52" s="118" t="str">
        <f>IF($I52&lt;=0.6,"", "Netzbedarf ("&amp;MIN(100,ROUND($I52*100,0))&amp;IF($I52&gt;1,"+","")&amp;"%) reduzieren")</f>
        <v>Netzbedarf (100%) reduzieren</v>
      </c>
      <c r="R52" s="118" t="str">
        <f>IF(OR($K$52=0,NOT($M$52)),"Abwärme"&amp;IF($K$52=0,"nutzung","speicherung")&amp;" realisieren","")</f>
        <v>Abwärmenutzung realisieren</v>
      </c>
      <c r="S52" s="118" t="str">
        <f>IF($N$52&gt;1.5,"","Anschlussleistung ("&amp;$J$52&amp;"MW) erhöhen")</f>
        <v>Anschlussleistung (0MW) erhöhen</v>
      </c>
    </row>
    <row r="53" spans="1:19" x14ac:dyDescent="0.25">
      <c r="A53" s="118" t="s">
        <v>99</v>
      </c>
      <c r="B53" s="118" t="b">
        <v>1</v>
      </c>
      <c r="C53" s="118" t="b">
        <f>helper_ENERGIETECHNIK!B29=1</f>
        <v>0</v>
      </c>
      <c r="D53" s="118">
        <v>0</v>
      </c>
      <c r="E53" s="118">
        <v>5</v>
      </c>
      <c r="G53" s="118" cm="1">
        <f t="array" ref="G53">SATURATION($C53+2*($I$53&gt;=0.4)+$L$53+2*$M$53,$D53,$E53)</f>
        <v>0</v>
      </c>
      <c r="H53" s="206">
        <f>ENERGIETECHNIK!$E$65</f>
        <v>0</v>
      </c>
      <c r="I53" s="118">
        <f>IF($H$38=0,0,H53/$H$38)</f>
        <v>0</v>
      </c>
      <c r="J53" s="118">
        <f>ENERGIETECHNIK!$M$64</f>
        <v>0</v>
      </c>
      <c r="K53" s="118">
        <f>ENERGIETECHNIK!$M$65</f>
        <v>0</v>
      </c>
      <c r="L53" s="118" t="b">
        <f>helper_ENERGIETECHNIK!$D$29</f>
        <v>0</v>
      </c>
      <c r="M53" s="118" t="b">
        <f>helper_ENERGIETECHNIK!$D$30</f>
        <v>0</v>
      </c>
      <c r="N53" s="118">
        <v>400</v>
      </c>
      <c r="O53" s="118">
        <f>IF(OR($J$53=0,$K$53=0),0,$H$53/($J$53*$K$53*$N$53))</f>
        <v>0</v>
      </c>
      <c r="P53" s="118">
        <f>IF(OR($O$53=0,$J$53=0),0,0.4*$H$37/(MIN(1,$O$53)*$J$53*$N$53))</f>
        <v>0</v>
      </c>
      <c r="Q53" s="118" t="str">
        <f>IF($I53&gt;=0.4,"", "Bedarfsanteil ("&amp;MIN(100,ROUND($I53*100,0))&amp;IF($I53&gt;1,"+","")&amp;"%) erhöhen")</f>
        <v>Bedarfsanteil (0%) erhöhen</v>
      </c>
      <c r="R53" s="118" t="str">
        <f>IF($O53&gt;0.9,"", "Effizienz ("&amp;MIN(100,ROUND($O53*100,0))&amp;IF($O53&gt;1,"+","")&amp;"%) erhöhen")</f>
        <v>Effizienz (0%) erhöhen</v>
      </c>
      <c r="S53" s="118" t="str">
        <f>IF($I53&gt;=0.4,"", "Bedarfsdeckung von 40% mit "&amp;$P$53&amp;"m² erreichbar")</f>
        <v>Bedarfsdeckung von 40% mit 0m² erreichbar</v>
      </c>
    </row>
    <row r="54" spans="1:19" x14ac:dyDescent="0.25">
      <c r="A54" s="205" t="s">
        <v>116</v>
      </c>
    </row>
    <row r="55" spans="1:19" x14ac:dyDescent="0.25">
      <c r="A55" s="118" t="s">
        <v>471</v>
      </c>
      <c r="B55" s="118" t="b">
        <v>0</v>
      </c>
      <c r="C55" s="118" t="b">
        <f>helper_ENERGIETECHNIK!$B33=1</f>
        <v>0</v>
      </c>
      <c r="D55" s="118">
        <v>0</v>
      </c>
      <c r="E55" s="118">
        <v>10</v>
      </c>
      <c r="F55" s="118" t="s">
        <v>415</v>
      </c>
      <c r="G55" s="118" cm="1">
        <f t="array" ref="G55">CEILING(SATURATION($M55,0,1)*$E55,1)</f>
        <v>0</v>
      </c>
      <c r="H55" s="118">
        <f>ENERGIETECHNIK!$G72</f>
        <v>0</v>
      </c>
      <c r="I55" s="118">
        <f>ENERGIETECHNIK!$M72</f>
        <v>0</v>
      </c>
      <c r="J55" s="118">
        <f>ENERGIETECHNIK!$P72/100</f>
        <v>0</v>
      </c>
      <c r="K55" s="118">
        <v>250</v>
      </c>
      <c r="L55" s="118">
        <f>$I55*(1-2*ABS(0.5-$J55))*$H55</f>
        <v>0</v>
      </c>
      <c r="M55" s="118">
        <f>IF($H44=0,0,$L55*$K55/$H44)</f>
        <v>0</v>
      </c>
    </row>
    <row r="56" spans="1:19" x14ac:dyDescent="0.25">
      <c r="A56" s="118" t="s">
        <v>120</v>
      </c>
      <c r="B56" s="118" t="b">
        <v>0</v>
      </c>
      <c r="C56" s="118" t="b">
        <f>helper_ENERGIETECHNIK!$B34=1</f>
        <v>0</v>
      </c>
      <c r="D56" s="118">
        <v>0</v>
      </c>
      <c r="E56" s="118">
        <v>5</v>
      </c>
      <c r="F56" s="118" t="s">
        <v>415</v>
      </c>
      <c r="G56" s="118" cm="1">
        <f t="array" ref="G56">CEILING(SATURATION($M56,0,1)*$E56,1)</f>
        <v>0</v>
      </c>
      <c r="H56" s="118">
        <f>ENERGIETECHNIK!$G73</f>
        <v>0</v>
      </c>
      <c r="I56" s="118">
        <f>ENERGIETECHNIK!$M73</f>
        <v>0</v>
      </c>
      <c r="J56" s="118">
        <f>ENERGIETECHNIK!$P73/100</f>
        <v>0</v>
      </c>
      <c r="K56" s="118">
        <v>150</v>
      </c>
      <c r="L56" s="118">
        <f t="shared" ref="L56" si="4">$I56*(1-2*ABS(0.5-$J56))*$H56</f>
        <v>0</v>
      </c>
      <c r="M56" s="118">
        <f>IF($H45=0,0,$L56*$K56/$H45)</f>
        <v>0</v>
      </c>
    </row>
    <row r="57" spans="1:19" x14ac:dyDescent="0.25">
      <c r="A57" s="118" t="s">
        <v>472</v>
      </c>
      <c r="B57" s="118" t="b">
        <v>1</v>
      </c>
      <c r="C57" s="118" t="b">
        <f>helper_ENERGIETECHNIK!$B35=1</f>
        <v>0</v>
      </c>
      <c r="D57" s="118">
        <v>0</v>
      </c>
      <c r="E57" s="118">
        <v>5</v>
      </c>
      <c r="F57" s="118" t="s">
        <v>416</v>
      </c>
      <c r="G57" s="118" cm="1">
        <f t="array" ref="G57">CEILING(SATURATION($M57,0,1)*$E57,1)</f>
        <v>0</v>
      </c>
      <c r="H57" s="118">
        <f>ENERGIETECHNIK!$G74</f>
        <v>0</v>
      </c>
      <c r="I57" s="118">
        <f>ENERGIETECHNIK!$M74</f>
        <v>0</v>
      </c>
      <c r="J57" s="118">
        <f>ENERGIETECHNIK!$P74/100</f>
        <v>0</v>
      </c>
      <c r="K57" s="118">
        <v>50</v>
      </c>
      <c r="L57" s="118">
        <f>$I57*(1-2*(0.5-$J57))*$H57</f>
        <v>0</v>
      </c>
      <c r="M57" s="118">
        <f>(1-2*ABS(0.5-$J57))</f>
        <v>0</v>
      </c>
      <c r="N57" s="118">
        <f>IF($H$57=0,0,$L$57/$H$57)</f>
        <v>0</v>
      </c>
    </row>
    <row r="58" spans="1:19" x14ac:dyDescent="0.25">
      <c r="A58" s="205" t="s">
        <v>134</v>
      </c>
    </row>
    <row r="59" spans="1:19" x14ac:dyDescent="0.25">
      <c r="A59" s="118" t="s">
        <v>405</v>
      </c>
      <c r="B59" s="118" t="b">
        <v>1</v>
      </c>
      <c r="C59" s="118" t="b">
        <f>OR(NOT(ENERGIETECHNIK!$C$77=""),$C$36)</f>
        <v>0</v>
      </c>
      <c r="D59" s="118">
        <v>-5</v>
      </c>
      <c r="E59" s="118">
        <v>5</v>
      </c>
      <c r="F59" s="118" t="s">
        <v>301</v>
      </c>
      <c r="G59" s="118">
        <f>IF(NOT($C59),0,$H59*$E$8)</f>
        <v>0</v>
      </c>
      <c r="H59" s="118">
        <f>VLOOKUP(IF($I59=0,$A$137,$I59),$A$136:$B$138,2,FALSE)</f>
        <v>1</v>
      </c>
      <c r="I59" s="118" t="str">
        <f>ERGEBNISSE!$L$58</f>
        <v>Positiv</v>
      </c>
    </row>
    <row r="60" spans="1:19" x14ac:dyDescent="0.25">
      <c r="A60" s="205" t="s">
        <v>135</v>
      </c>
    </row>
    <row r="61" spans="1:19" x14ac:dyDescent="0.25">
      <c r="A61" s="118" t="s">
        <v>405</v>
      </c>
      <c r="B61" s="118" t="b">
        <v>1</v>
      </c>
      <c r="C61" s="118" t="b">
        <f>NOT(ENERGIETECHNIK!$C$80="")</f>
        <v>0</v>
      </c>
      <c r="D61" s="118">
        <v>-5</v>
      </c>
      <c r="E61" s="118">
        <v>5</v>
      </c>
      <c r="F61" s="118" t="s">
        <v>301</v>
      </c>
      <c r="G61" s="118">
        <f>IF(NOT($C61),0,$H61*$E$8)</f>
        <v>0</v>
      </c>
      <c r="H61" s="118">
        <f>VLOOKUP(IF($I61=0,$A$137,$I61),$A$136:$B$138,2,FALSE)</f>
        <v>0</v>
      </c>
      <c r="I61" s="118">
        <f>ERGEBNISSE!$L$66</f>
        <v>0</v>
      </c>
    </row>
    <row r="62" spans="1:19" x14ac:dyDescent="0.25">
      <c r="A62" s="205" t="s">
        <v>258</v>
      </c>
    </row>
    <row r="63" spans="1:19" x14ac:dyDescent="0.25">
      <c r="B63" s="118" t="b">
        <v>1</v>
      </c>
      <c r="C63" s="118" t="b">
        <f>NOT(ENERGIETECHNIK!$C$83="")</f>
        <v>0</v>
      </c>
      <c r="D63" s="118">
        <v>-5</v>
      </c>
      <c r="E63" s="118">
        <v>5</v>
      </c>
      <c r="F63" s="118" t="s">
        <v>301</v>
      </c>
      <c r="G63" s="118">
        <f>IF(NOT($C63),0,$H63*$E$8)</f>
        <v>0</v>
      </c>
      <c r="H63" s="118">
        <f>VLOOKUP(IF($I63=0,$A$137,$I63),$A$136:$B$138,2,FALSE)</f>
        <v>0</v>
      </c>
      <c r="I63" s="118">
        <f>ERGEBNISSE!$L$69</f>
        <v>0</v>
      </c>
    </row>
    <row r="64" spans="1:19" x14ac:dyDescent="0.25">
      <c r="A64" s="205" t="s">
        <v>352</v>
      </c>
      <c r="E64" s="118" cm="1">
        <f t="array" ref="E64">SUM(E$23:E$63*((NOT($B$23:$B$63)+($B$23:$B$63*$C$23:$C$63))&gt;0))</f>
        <v>60</v>
      </c>
      <c r="G64" s="118">
        <f>IF(ENERGIETECHNIK_FILLED,MAX(0,SUM($G$23:$G$63)),0)</f>
        <v>0</v>
      </c>
      <c r="H64" s="118">
        <f>$G64/$E64</f>
        <v>0</v>
      </c>
    </row>
    <row r="65" spans="1:23" x14ac:dyDescent="0.25">
      <c r="A65" s="204" t="s">
        <v>52</v>
      </c>
      <c r="B65" s="118" t="s">
        <v>357</v>
      </c>
      <c r="D65" s="118">
        <v>2</v>
      </c>
    </row>
    <row r="66" spans="1:23" x14ac:dyDescent="0.25">
      <c r="A66" s="205" t="s">
        <v>54</v>
      </c>
    </row>
    <row r="67" spans="1:23" x14ac:dyDescent="0.25">
      <c r="A67" s="118" t="s">
        <v>380</v>
      </c>
      <c r="B67" s="118" t="b">
        <v>0</v>
      </c>
      <c r="C67" s="118" t="b">
        <f>helper_PROZESSTECHNIK!$B5 = 1</f>
        <v>0</v>
      </c>
      <c r="D67" s="118">
        <v>0</v>
      </c>
      <c r="E67" s="118">
        <v>5</v>
      </c>
      <c r="F67" s="118" t="s">
        <v>312</v>
      </c>
      <c r="G67" s="118">
        <f>MAX(0,helper_PROZESSTECHNIK!$C5-1)*$E67</f>
        <v>0</v>
      </c>
    </row>
    <row r="68" spans="1:23" x14ac:dyDescent="0.25">
      <c r="A68" s="118" t="s">
        <v>313</v>
      </c>
      <c r="B68" s="118" t="b">
        <v>0</v>
      </c>
      <c r="C68" s="118" t="b">
        <f>helper_PROZESSTECHNIK!$B6 = 1</f>
        <v>0</v>
      </c>
      <c r="D68" s="118">
        <v>0</v>
      </c>
      <c r="E68" s="118">
        <v>5</v>
      </c>
      <c r="F68" s="118" t="s">
        <v>314</v>
      </c>
      <c r="G68" s="118">
        <f>MAX(0,helper_PROZESSTECHNIK!$C6-1)*$E68</f>
        <v>0</v>
      </c>
    </row>
    <row r="69" spans="1:23" x14ac:dyDescent="0.25">
      <c r="A69" s="118" t="s">
        <v>315</v>
      </c>
      <c r="B69" s="118" t="b">
        <v>0</v>
      </c>
      <c r="C69" s="118" t="b">
        <f>helper_PROZESSTECHNIK!$B7 = 1</f>
        <v>0</v>
      </c>
      <c r="D69" s="118">
        <v>0</v>
      </c>
      <c r="E69" s="118">
        <v>5</v>
      </c>
      <c r="F69" s="118" t="s">
        <v>316</v>
      </c>
      <c r="G69" s="118">
        <f>MAX(0,helper_PROZESSTECHNIK!$C7-1)*$E69</f>
        <v>0</v>
      </c>
    </row>
    <row r="70" spans="1:23" x14ac:dyDescent="0.25">
      <c r="A70" s="118" t="s">
        <v>317</v>
      </c>
      <c r="B70" s="118" t="b">
        <v>0</v>
      </c>
      <c r="C70" s="118" t="b">
        <f>helper_PROZESSTECHNIK!$B8 = 1</f>
        <v>0</v>
      </c>
      <c r="D70" s="118">
        <v>0</v>
      </c>
      <c r="E70" s="118">
        <v>5</v>
      </c>
      <c r="F70" s="118" t="s">
        <v>318</v>
      </c>
      <c r="G70" s="118">
        <f>MAX(0,helper_PROZESSTECHNIK!$C8-1)*($E70 - 1) + IF(helper_PROZESSTECHNIK!$C8&lt;=1,0,helper_PROZESSTECHNIK!$D$8)</f>
        <v>0</v>
      </c>
    </row>
    <row r="71" spans="1:23" x14ac:dyDescent="0.25">
      <c r="A71" s="205" t="s">
        <v>391</v>
      </c>
    </row>
    <row r="72" spans="1:23" x14ac:dyDescent="0.25">
      <c r="A72" s="118" t="s">
        <v>320</v>
      </c>
      <c r="B72" s="118" t="b">
        <v>0</v>
      </c>
      <c r="C72" s="118" t="b">
        <f>helper_PROZESSTECHNIK!$B9 = 1</f>
        <v>0</v>
      </c>
      <c r="D72" s="118">
        <v>0</v>
      </c>
      <c r="E72" s="118">
        <v>0</v>
      </c>
      <c r="G72" s="118">
        <v>0</v>
      </c>
      <c r="H72" s="118">
        <f>PROZESSTECHNIK!$N$22</f>
        <v>0</v>
      </c>
    </row>
    <row r="73" spans="1:23" x14ac:dyDescent="0.25">
      <c r="A73" s="118" t="s">
        <v>321</v>
      </c>
      <c r="B73" s="118" t="b">
        <v>0</v>
      </c>
      <c r="C73" s="118" t="b">
        <f>helper_PROZESSTECHNIK!$B10 = 1</f>
        <v>0</v>
      </c>
      <c r="D73" s="118">
        <v>0</v>
      </c>
      <c r="E73" s="118">
        <v>0</v>
      </c>
      <c r="G73" s="118">
        <v>0</v>
      </c>
      <c r="H73" s="118">
        <f>PROZESSTECHNIK!$N$23</f>
        <v>0</v>
      </c>
    </row>
    <row r="74" spans="1:23" x14ac:dyDescent="0.25">
      <c r="A74" s="118" t="s">
        <v>392</v>
      </c>
      <c r="B74" s="118" t="b">
        <v>0</v>
      </c>
      <c r="C74" s="118" t="b">
        <v>1</v>
      </c>
      <c r="D74" s="118">
        <v>0</v>
      </c>
      <c r="E74" s="118">
        <v>0</v>
      </c>
      <c r="F74" s="118" t="s">
        <v>393</v>
      </c>
      <c r="G74" s="118">
        <v>0</v>
      </c>
      <c r="H74" s="118">
        <f>SUM(_xlfn.ANCHORARRAY(I74))</f>
        <v>0</v>
      </c>
      <c r="I74" s="118" cm="1">
        <f t="array" ref="I74:W74">IF(TRANSPOSE(helper_UNTERNEHMUNG!$B$39:$B$53)=1,TRANSPOSE(UNTERNEHMUNG!$P$26:$P$40),0)</f>
        <v>0</v>
      </c>
      <c r="J74" s="118">
        <v>0</v>
      </c>
      <c r="K74" s="118">
        <v>0</v>
      </c>
      <c r="L74" s="118">
        <v>0</v>
      </c>
      <c r="M74" s="118">
        <v>0</v>
      </c>
      <c r="N74" s="118">
        <v>0</v>
      </c>
      <c r="O74" s="118">
        <v>0</v>
      </c>
      <c r="P74" s="118">
        <v>0</v>
      </c>
      <c r="Q74" s="118">
        <v>0</v>
      </c>
      <c r="R74" s="118">
        <v>0</v>
      </c>
      <c r="S74" s="118">
        <v>0</v>
      </c>
      <c r="T74" s="118">
        <v>0</v>
      </c>
      <c r="U74" s="118">
        <v>0</v>
      </c>
      <c r="V74" s="118">
        <v>0</v>
      </c>
      <c r="W74" s="118">
        <v>0</v>
      </c>
    </row>
    <row r="75" spans="1:23" x14ac:dyDescent="0.25">
      <c r="A75" s="118" t="s">
        <v>394</v>
      </c>
      <c r="B75" s="118" t="b">
        <v>0</v>
      </c>
      <c r="C75" s="118" t="b">
        <v>1</v>
      </c>
      <c r="D75" s="118">
        <v>0</v>
      </c>
      <c r="E75" s="118">
        <v>0</v>
      </c>
      <c r="F75" s="118" t="s">
        <v>393</v>
      </c>
      <c r="G75" s="118">
        <v>0</v>
      </c>
      <c r="H75" s="118">
        <f t="shared" ref="H75:H76" si="5">SUM(_xlfn.ANCHORARRAY(I75))</f>
        <v>0</v>
      </c>
      <c r="I75" s="118" cm="1">
        <f t="array" ref="I75:W75">IF(TRANSPOSE(helper_UNTERNEHMUNG!$B$39:$B$53)=1,TRANSPOSE(UNTERNEHMUNG!$L$26:$L$40),0)</f>
        <v>0</v>
      </c>
      <c r="J75" s="118">
        <v>0</v>
      </c>
      <c r="K75" s="118">
        <v>0</v>
      </c>
      <c r="L75" s="118">
        <v>0</v>
      </c>
      <c r="M75" s="118">
        <v>0</v>
      </c>
      <c r="N75" s="118">
        <v>0</v>
      </c>
      <c r="O75" s="118">
        <v>0</v>
      </c>
      <c r="P75" s="118">
        <v>0</v>
      </c>
      <c r="Q75" s="118">
        <v>0</v>
      </c>
      <c r="R75" s="118">
        <v>0</v>
      </c>
      <c r="S75" s="118">
        <v>0</v>
      </c>
      <c r="T75" s="118">
        <v>0</v>
      </c>
      <c r="U75" s="118">
        <v>0</v>
      </c>
      <c r="V75" s="118">
        <v>0</v>
      </c>
      <c r="W75" s="118">
        <v>0</v>
      </c>
    </row>
    <row r="76" spans="1:23" x14ac:dyDescent="0.25">
      <c r="A76" s="118" t="s">
        <v>395</v>
      </c>
      <c r="B76" s="118" t="b">
        <v>0</v>
      </c>
      <c r="C76" s="118" t="b">
        <v>1</v>
      </c>
      <c r="D76" s="118">
        <v>0</v>
      </c>
      <c r="E76" s="118">
        <v>0</v>
      </c>
      <c r="F76" s="118" t="s">
        <v>396</v>
      </c>
      <c r="G76" s="118">
        <v>0</v>
      </c>
      <c r="H76" s="118">
        <f t="shared" si="5"/>
        <v>0</v>
      </c>
      <c r="I76" s="118" cm="1">
        <f t="array" ref="I76:W76">_xlfn.ANCHORARRAY(I74)*_xlfn.ANCHORARRAY(I75)</f>
        <v>0</v>
      </c>
      <c r="J76" s="118">
        <v>0</v>
      </c>
      <c r="K76" s="118">
        <v>0</v>
      </c>
      <c r="L76" s="118">
        <v>0</v>
      </c>
      <c r="M76" s="118">
        <v>0</v>
      </c>
      <c r="N76" s="118">
        <v>0</v>
      </c>
      <c r="O76" s="118">
        <v>0</v>
      </c>
      <c r="P76" s="118">
        <v>0</v>
      </c>
      <c r="Q76" s="118">
        <v>0</v>
      </c>
      <c r="R76" s="118">
        <v>0</v>
      </c>
      <c r="S76" s="118">
        <v>0</v>
      </c>
      <c r="T76" s="118">
        <v>0</v>
      </c>
      <c r="U76" s="118">
        <v>0</v>
      </c>
      <c r="V76" s="118">
        <v>0</v>
      </c>
      <c r="W76" s="118">
        <v>0</v>
      </c>
    </row>
    <row r="77" spans="1:23" x14ac:dyDescent="0.25">
      <c r="A77" s="118" t="s">
        <v>397</v>
      </c>
      <c r="B77" s="118" t="b">
        <v>0</v>
      </c>
      <c r="C77" s="118" t="b">
        <v>1</v>
      </c>
      <c r="D77" s="118">
        <v>0</v>
      </c>
      <c r="E77" s="118">
        <v>0</v>
      </c>
      <c r="F77" s="118" t="s">
        <v>399</v>
      </c>
      <c r="G77" s="118">
        <v>0</v>
      </c>
      <c r="H77" s="118">
        <f>helper_ENERGIETECHNIK!$C$13</f>
        <v>0</v>
      </c>
      <c r="I77" s="118" cm="1">
        <f t="array" ref="I77:W77">IF(TRANSPOSE(helper_UNTERNEHMUNG!$B$39:$B$53)=1,$H$77*_xlfn.ANCHORARRAY($I$76)/$H$76,0)</f>
        <v>0</v>
      </c>
      <c r="J77" s="118">
        <v>0</v>
      </c>
      <c r="K77" s="118">
        <v>0</v>
      </c>
      <c r="L77" s="118">
        <v>0</v>
      </c>
      <c r="M77" s="118">
        <v>0</v>
      </c>
      <c r="N77" s="118">
        <v>0</v>
      </c>
      <c r="O77" s="118">
        <v>0</v>
      </c>
      <c r="P77" s="118">
        <v>0</v>
      </c>
      <c r="Q77" s="118">
        <v>0</v>
      </c>
      <c r="R77" s="118">
        <v>0</v>
      </c>
      <c r="S77" s="118">
        <v>0</v>
      </c>
      <c r="T77" s="118">
        <v>0</v>
      </c>
      <c r="U77" s="118">
        <v>0</v>
      </c>
      <c r="V77" s="118">
        <v>0</v>
      </c>
      <c r="W77" s="118">
        <v>0</v>
      </c>
    </row>
    <row r="78" spans="1:23" x14ac:dyDescent="0.25">
      <c r="A78" s="118" t="s">
        <v>398</v>
      </c>
      <c r="B78" s="118" t="b">
        <v>0</v>
      </c>
      <c r="C78" s="118" t="b">
        <v>1</v>
      </c>
      <c r="D78" s="118">
        <v>0</v>
      </c>
      <c r="E78" s="118">
        <v>0</v>
      </c>
      <c r="G78" s="118">
        <v>0</v>
      </c>
      <c r="H78" s="118">
        <f>IF($H$74=0,0,$H$77/$H$74)</f>
        <v>0</v>
      </c>
      <c r="I78" s="118" cm="1">
        <f t="array" ref="I78:W78">IF(TRANSPOSE(helper_UNTERNEHMUNG!$B$39:$B$53)=1,$H$77*_xlfn.ANCHORARRAY($I$75)/$H$76,0)</f>
        <v>0</v>
      </c>
      <c r="J78" s="118">
        <v>0</v>
      </c>
      <c r="K78" s="118">
        <v>0</v>
      </c>
      <c r="L78" s="118">
        <v>0</v>
      </c>
      <c r="M78" s="118">
        <v>0</v>
      </c>
      <c r="N78" s="118">
        <v>0</v>
      </c>
      <c r="O78" s="118">
        <v>0</v>
      </c>
      <c r="P78" s="118">
        <v>0</v>
      </c>
      <c r="Q78" s="118">
        <v>0</v>
      </c>
      <c r="R78" s="118">
        <v>0</v>
      </c>
      <c r="S78" s="118">
        <v>0</v>
      </c>
      <c r="T78" s="118">
        <v>0</v>
      </c>
      <c r="U78" s="118">
        <v>0</v>
      </c>
      <c r="V78" s="118">
        <v>0</v>
      </c>
      <c r="W78" s="118">
        <v>0</v>
      </c>
    </row>
    <row r="79" spans="1:23" x14ac:dyDescent="0.25">
      <c r="A79" s="118" t="s">
        <v>516</v>
      </c>
      <c r="B79" s="118" t="b">
        <v>0</v>
      </c>
      <c r="C79" s="118" t="b">
        <v>1</v>
      </c>
      <c r="D79" s="118">
        <v>0</v>
      </c>
      <c r="E79" s="118">
        <v>0</v>
      </c>
      <c r="G79" s="118">
        <v>0</v>
      </c>
      <c r="I79" s="118" cm="1">
        <f t="array" ref="I79">IF($H$76=0,0,$H$72*_xlfn.ANCHORARRAY($I$76)/$H$76)</f>
        <v>0</v>
      </c>
    </row>
    <row r="80" spans="1:23" x14ac:dyDescent="0.25">
      <c r="A80" s="118" t="s">
        <v>401</v>
      </c>
      <c r="B80" s="118" t="b">
        <v>0</v>
      </c>
      <c r="C80" s="118" t="b">
        <v>1</v>
      </c>
      <c r="D80" s="118">
        <v>0</v>
      </c>
      <c r="E80" s="118">
        <v>10</v>
      </c>
      <c r="G80" s="118">
        <f>ROUND((1-$H$80)*($E$80-$D$80)+$D$80,0)</f>
        <v>10</v>
      </c>
      <c r="H80" s="118" cm="1">
        <f t="array" ref="H80">SATURATION(IFERROR(AVERAGE(_xlfn._xlws.FILTER(_xlfn.ANCHORARRAY($I$80),TRANSPOSE(helper_UNTERNEHMUNG!$B$39:$B$53)=1)),0),0,1)</f>
        <v>0</v>
      </c>
      <c r="I80" s="118" cm="1">
        <f t="array" ref="I80">IF($H$76=0,0,$H$74*_xlfn.ANCHORARRAY($I$75)/$H$76)</f>
        <v>0</v>
      </c>
    </row>
    <row r="81" spans="1:18" x14ac:dyDescent="0.25">
      <c r="A81" s="118" t="s">
        <v>518</v>
      </c>
      <c r="B81" s="118" t="b">
        <v>0</v>
      </c>
      <c r="C81" s="118" t="b">
        <v>1</v>
      </c>
      <c r="D81" s="118">
        <v>0</v>
      </c>
      <c r="E81" s="118">
        <v>10</v>
      </c>
      <c r="G81" s="118">
        <f>ROUND(($H$81)*($E$81-$D$81)+$D$81,0)</f>
        <v>0</v>
      </c>
      <c r="H81" s="118" cm="1">
        <f t="array" ref="H81">SATURATION(IFERROR(AVERAGE(_xlfn._xlws.FILTER(_xlfn.ANCHORARRAY($I$81),TRANSPOSE(helper_UNTERNEHMUNG!$B$39:$B$53)=1)),0),0,1)</f>
        <v>0</v>
      </c>
      <c r="I81" s="118" cm="1">
        <f t="array" ref="I81">IF(_xlfn.ANCHORARRAY($I$79)=0,0,_xlfn.ANCHORARRAY($I$74)/_xlfn.ANCHORARRAY($I$79))</f>
        <v>0</v>
      </c>
    </row>
    <row r="82" spans="1:18" x14ac:dyDescent="0.25">
      <c r="A82" s="118" t="s">
        <v>402</v>
      </c>
      <c r="B82" s="118" t="b">
        <v>0</v>
      </c>
      <c r="C82" s="118" t="b">
        <v>1</v>
      </c>
      <c r="D82" s="118">
        <v>0</v>
      </c>
      <c r="E82" s="118">
        <v>10</v>
      </c>
      <c r="G82" s="118">
        <f>ROUND((1-$H$82)*($E$82-$D$82)+$D$82,0)</f>
        <v>10</v>
      </c>
      <c r="H82" s="118" cm="1">
        <f t="array" ref="H82">SATURATION(IFERROR(AVERAGE(_xlfn._xlws.FILTER(_xlfn.ANCHORARRAY(I82),TRANSPOSE(helper_UNTERNEHMUNG!$B$39:$B$53)=1)),0),0,1)</f>
        <v>0</v>
      </c>
      <c r="I82" s="118" cm="1">
        <f t="array" ref="I82">IF($H$73=0,0,_xlfn.ANCHORARRAY($I$76)/$H$73)</f>
        <v>0</v>
      </c>
    </row>
    <row r="83" spans="1:18" x14ac:dyDescent="0.25">
      <c r="A83" s="205" t="s">
        <v>132</v>
      </c>
    </row>
    <row r="84" spans="1:18" x14ac:dyDescent="0.25">
      <c r="A84" s="118" t="s">
        <v>322</v>
      </c>
      <c r="B84" s="118" t="b">
        <v>0</v>
      </c>
      <c r="C84" s="118" t="b">
        <f>helper_PROZESSTECHNIK!$B14 = 1</f>
        <v>0</v>
      </c>
      <c r="D84" s="118">
        <v>0</v>
      </c>
      <c r="E84" s="118">
        <v>5</v>
      </c>
      <c r="G84" s="118">
        <f>ROUND($D84+($E84-$D84)*(1-MIN(1,(ABS($H84-$J84)/MAX($J84-1,5-$J84))^(3/4))),0)</f>
        <v>0</v>
      </c>
      <c r="H84" s="118">
        <f>PROZESSTECHNIK!$O26</f>
        <v>0</v>
      </c>
      <c r="I84" s="118" t="str">
        <f>PROZESSTECHNIK!$C26</f>
        <v>Energie aus Eigenerzeugung ist aktuell vorhanden (z.B. Hoher Ertrag an Solarstrom)</v>
      </c>
      <c r="J84" s="118">
        <v>5</v>
      </c>
      <c r="K84" s="118" t="str" cm="1">
        <f t="array" ref="K84">_xlfn.LET(
_xlpm.low,helper_ERGEBNISSE!$D84,
_xlpm.high,helper_ERGEBNISSE!$E84,
_xlpm.mid,(_xlpm.low+_xlpm.high)/2,
_xlpm.val,helper_ERGEBNISSE!$G84,
_xlfn.IFS(_xlpm.val=_xlpm.high,"Positiv",_xlpm.val=_xlpm.low,"Negativ",_xlpm.val=_xlpm.mid,"Neutral",AND(_xlpm.val&lt;_xlpm.high,_xlpm.val&gt;_xlpm.mid),"Eher positiv",AND(_xlpm.val&lt;_xlpm.mid,_xlpm.val&gt;_xlpm.low),"Eher negativ"))</f>
        <v>Negativ</v>
      </c>
      <c r="L84" s="118" t="str" cm="1">
        <f t="array" ref="L84">_xlfn.IFS(
$H84=5,"Anpassung an Eigenerzeugung bedeutet, dass bereits hohe Flexibilität gegeben ist.",
AND($H84&lt;5,$H84&gt;=3),"Bereitschaft zur Anpassung an Eigenerzeugung deutet auf Flexibilität hin.",
AND($H84&lt;3,$H84&gt;1),"Geringe Bereitschaft zur Anpassung an Eigenerzeugung bedeutet geringe Flexibilität.",
$H84=1,"Keine Anpassung an Eigenerzeugung deutet auf keine Flexibilität hin.",
$H84=0,"Nicht ausgefüllt."
)</f>
        <v>Nicht ausgefüllt.</v>
      </c>
      <c r="M84" s="118" t="str" cm="1">
        <f t="array" ref="M84:M88">_xlfn.SORTBY($I$84:$I$88,-$H$84:$H$88)</f>
        <v>Energie aus Eigenerzeugung ist aktuell vorhanden (z.B. Hoher Ertrag an Solarstrom)</v>
      </c>
      <c r="N84" s="118" cm="1">
        <f t="array" ref="N84:N88">_xlfn.SORTBY($D$84:$D$88,-$H$84:$H$88)</f>
        <v>0</v>
      </c>
      <c r="O84" s="118" cm="1">
        <f t="array" ref="O84:O88">_xlfn.SORTBY($E$84:$E$88,-$H$84:$H$88)</f>
        <v>5</v>
      </c>
      <c r="P84" s="118" cm="1">
        <f t="array" ref="P84:P88">_xlfn.SORTBY($G$84:$G$88,-$H$84:$H$88)</f>
        <v>0</v>
      </c>
      <c r="Q84" s="118" t="str" cm="1">
        <f t="array" ref="Q84:Q88">_xlfn.SORTBY($K$84:$K$88,-$H$84:$H$88)</f>
        <v>Negativ</v>
      </c>
      <c r="R84" s="118" t="str" cm="1">
        <f t="array" ref="R84:R88">_xlfn.SORTBY($L$84:$L$88,-$H$84:$H$88)</f>
        <v>Nicht ausgefüllt.</v>
      </c>
    </row>
    <row r="85" spans="1:18" x14ac:dyDescent="0.25">
      <c r="A85" s="118" t="s">
        <v>323</v>
      </c>
      <c r="B85" s="118" t="b">
        <v>0</v>
      </c>
      <c r="C85" s="118" t="b">
        <f>helper_PROZESSTECHNIK!$B15 = 1</f>
        <v>0</v>
      </c>
      <c r="D85" s="118">
        <v>-5</v>
      </c>
      <c r="E85" s="118">
        <v>0</v>
      </c>
      <c r="G85" s="118">
        <f>ROUND($D85+($E85-$D85)*(1-MIN(1,(ABS($H85-$J85)/MAX($J85-1,5-$J85))^(3/4))),0)</f>
        <v>-4</v>
      </c>
      <c r="H85" s="118">
        <f>PROZESSTECHNIK!$O27</f>
        <v>0</v>
      </c>
      <c r="I85" s="118" t="str">
        <f>PROZESSTECHNIK!$C27</f>
        <v>Anstehende Lieferfristen wurden verschoben</v>
      </c>
      <c r="J85" s="118">
        <v>2</v>
      </c>
      <c r="K85" s="118" t="str" cm="1">
        <f t="array" ref="K85">_xlfn.LET(
_xlpm.low,helper_ERGEBNISSE!$D85,
_xlpm.high,helper_ERGEBNISSE!$E85,
_xlpm.mid,(_xlpm.low+_xlpm.high)/2,
_xlpm.val,helper_ERGEBNISSE!$G85,
_xlfn.IFS(_xlpm.val=_xlpm.high,"Positiv",_xlpm.val=_xlpm.low,"Negativ",_xlpm.val=_xlpm.mid,"Neutral",AND(_xlpm.val&lt;_xlpm.high,_xlpm.val&gt;_xlpm.mid),"Eher positiv",AND(_xlpm.val&lt;_xlpm.mid,_xlpm.val&gt;_xlpm.low),"Eher negativ"))</f>
        <v>Eher negativ</v>
      </c>
      <c r="L85" s="118" t="str" cm="1">
        <f t="array" ref="L85">_xlfn.IFS(
$H85=5,"Hohe Abhängigkeit von externen Lieferfristen zeigt wenig Flexibilität.",
$H85=4,"Teilweise Abhängigkeit von externen Lieferfristen verringert die Flexibilität.",
$H85=3,"Niedrige Abhängigkeit von externen Lieferfristen zeigt gewisse Flexibilität.",
OR($H85=2,$H85=1),"Unabhängigkeit von externen Lieferfristen zeigt hohe Flexibilität.",
$H85=0,"Nicht ausgefüllt."
)</f>
        <v>Nicht ausgefüllt.</v>
      </c>
      <c r="M85" s="118" t="str">
        <v>Anstehende Lieferfristen wurden verschoben</v>
      </c>
      <c r="N85" s="118">
        <v>-5</v>
      </c>
      <c r="O85" s="118">
        <v>0</v>
      </c>
      <c r="P85" s="118">
        <v>-4</v>
      </c>
      <c r="Q85" s="118" t="str">
        <v>Eher negativ</v>
      </c>
      <c r="R85" s="118" t="str">
        <v>Nicht ausgefüllt.</v>
      </c>
    </row>
    <row r="86" spans="1:18" x14ac:dyDescent="0.25">
      <c r="A86" s="118" t="s">
        <v>324</v>
      </c>
      <c r="B86" s="118" t="b">
        <v>0</v>
      </c>
      <c r="C86" s="118" t="b">
        <f>helper_PROZESSTECHNIK!$B16 = 1</f>
        <v>0</v>
      </c>
      <c r="D86" s="118">
        <v>-5</v>
      </c>
      <c r="E86" s="118">
        <v>0</v>
      </c>
      <c r="G86" s="118">
        <f t="shared" ref="G86:G88" si="6">ROUND($D86+($E86-$D86)*(1-MIN(1,(ABS($H86-$J86)/MAX($J86-1,5-$J86))^(3/4))),0)</f>
        <v>-2</v>
      </c>
      <c r="H86" s="118">
        <f>PROZESSTECHNIK!$O28</f>
        <v>0</v>
      </c>
      <c r="I86" s="118" t="str">
        <f>PROZESSTECHNIK!$C28</f>
        <v>Anstehende Materialanlieferungen wurden geändert</v>
      </c>
      <c r="J86" s="118">
        <v>1</v>
      </c>
      <c r="K86" s="118" t="str" cm="1">
        <f t="array" ref="K86">_xlfn.LET(
_xlpm.low,helper_ERGEBNISSE!$D86,
_xlpm.high,helper_ERGEBNISSE!$E86,
_xlpm.mid,(_xlpm.low+_xlpm.high)/2,
_xlpm.val,helper_ERGEBNISSE!$G86,
_xlfn.IFS(_xlpm.val=_xlpm.high,"Positiv",_xlpm.val=_xlpm.low,"Negativ",_xlpm.val=_xlpm.mid,"Neutral",AND(_xlpm.val&lt;_xlpm.high,_xlpm.val&gt;_xlpm.mid),"Eher positiv",AND(_xlpm.val&lt;_xlpm.mid,_xlpm.val&gt;_xlpm.low),"Eher negativ"))</f>
        <v>Eher positiv</v>
      </c>
      <c r="L86" s="118" t="str" cm="1">
        <f t="array" ref="L86">_xlfn.IFS(
$H86=5,"Hohe Abhängigkeit von externen Materialien zeigt wenig Flexibilität.",
AND($H86&lt;5,$H86&gt;=3),"Teilweise Abhängigkeit von externen Materialien verringert die Flexibilität.",
AND($H86&lt;3,$H86&gt;1),"Niedrige Abhängigkeit von externen Materialien zeigt gewisse Flexibilität.",
$H86=1,"Unabhängigkeit von externen Materialien zeigt hohe Flexibilität.",
$H86=0,"Nicht ausgefüllt."
)</f>
        <v>Nicht ausgefüllt.</v>
      </c>
      <c r="M86" s="118" t="str">
        <v>Anstehende Materialanlieferungen wurden geändert</v>
      </c>
      <c r="N86" s="118">
        <v>-5</v>
      </c>
      <c r="O86" s="118">
        <v>0</v>
      </c>
      <c r="P86" s="118">
        <v>-2</v>
      </c>
      <c r="Q86" s="118" t="str">
        <v>Eher positiv</v>
      </c>
      <c r="R86" s="118" t="str">
        <v>Nicht ausgefüllt.</v>
      </c>
    </row>
    <row r="87" spans="1:18" x14ac:dyDescent="0.25">
      <c r="A87" s="118" t="s">
        <v>325</v>
      </c>
      <c r="B87" s="118" t="b">
        <v>0</v>
      </c>
      <c r="C87" s="118" t="b">
        <f>helper_PROZESSTECHNIK!$B17 = 1</f>
        <v>0</v>
      </c>
      <c r="D87" s="118">
        <v>-5</v>
      </c>
      <c r="E87" s="118">
        <v>0</v>
      </c>
      <c r="G87" s="118">
        <f t="shared" si="6"/>
        <v>-5</v>
      </c>
      <c r="H87" s="118">
        <f>PROZESSTECHNIK!$O29</f>
        <v>0</v>
      </c>
      <c r="I87" s="118" t="str">
        <f>PROZESSTECHNIK!$C29</f>
        <v>Kunde mit einer hohen Priorität ändert das gewünschte Lieferdatum</v>
      </c>
      <c r="J87" s="118">
        <v>3</v>
      </c>
      <c r="K87" s="118" t="str" cm="1">
        <f t="array" ref="K87">_xlfn.LET(
_xlpm.low,helper_ERGEBNISSE!$D87,
_xlpm.high,helper_ERGEBNISSE!$E87,
_xlpm.mid,(_xlpm.low+_xlpm.high)/2,
_xlpm.val,helper_ERGEBNISSE!$G87,
_xlfn.IFS(_xlpm.val=_xlpm.high,"Positiv",_xlpm.val=_xlpm.low,"Negativ",_xlpm.val=_xlpm.mid,"Neutral",AND(_xlpm.val&lt;_xlpm.high,_xlpm.val&gt;_xlpm.mid),"Eher positiv",AND(_xlpm.val&lt;_xlpm.mid,_xlpm.val&gt;_xlpm.low),"Eher negativ"))</f>
        <v>Negativ</v>
      </c>
      <c r="L87" s="118" t="str" cm="1">
        <f t="array" ref="L87">_xlfn.IFS(
$H87=5,"Hohe Kundenpriorisierung deutet auf geringe Flexibilität hin.",
AND($H87&lt;5,$H87&gt;1),"Kundenpriorisierung ist sich für hohe Flexibilität idealerweise im Mittelfeld.",
$H87=1,"Niedrige Kundenpriosierung deutet auf hohe Priorisierung anderer Abhängigkeiten hin.",
$H87=0,"Nicht ausgefüllt."
)</f>
        <v>Nicht ausgefüllt.</v>
      </c>
      <c r="M87" s="118" t="str">
        <v>Kunde mit einer hohen Priorität ändert das gewünschte Lieferdatum</v>
      </c>
      <c r="N87" s="118">
        <v>-5</v>
      </c>
      <c r="O87" s="118">
        <v>0</v>
      </c>
      <c r="P87" s="118">
        <v>-5</v>
      </c>
      <c r="Q87" s="118" t="str">
        <v>Negativ</v>
      </c>
      <c r="R87" s="118" t="str">
        <v>Nicht ausgefüllt.</v>
      </c>
    </row>
    <row r="88" spans="1:18" x14ac:dyDescent="0.25">
      <c r="A88" s="118" t="s">
        <v>326</v>
      </c>
      <c r="B88" s="118" t="b">
        <v>0</v>
      </c>
      <c r="C88" s="118" t="b">
        <f>helper_PROZESSTECHNIK!$B18 = 1</f>
        <v>0</v>
      </c>
      <c r="D88" s="118">
        <v>0</v>
      </c>
      <c r="E88" s="118">
        <v>5</v>
      </c>
      <c r="G88" s="118">
        <f t="shared" si="6"/>
        <v>0</v>
      </c>
      <c r="H88" s="118">
        <f>PROZESSTECHNIK!$O30</f>
        <v>0</v>
      </c>
      <c r="I88" s="118" t="str">
        <f>PROZESSTECHNIK!$C30</f>
        <v>Strom- bzw. Energiepreis ändert sich</v>
      </c>
      <c r="J88" s="118">
        <v>4</v>
      </c>
      <c r="K88" s="118" t="str" cm="1">
        <f t="array" ref="K88">_xlfn.LET(
_xlpm.low,helper_ERGEBNISSE!$D88,
_xlpm.high,helper_ERGEBNISSE!$E88,
_xlpm.mid,(_xlpm.low+_xlpm.high)/2,
_xlpm.val,helper_ERGEBNISSE!$G88,
_xlfn.IFS(_xlpm.val=_xlpm.high,"Positiv",_xlpm.val=_xlpm.low,"Negativ",_xlpm.val=_xlpm.mid,"Neutral",AND(_xlpm.val&lt;_xlpm.high,_xlpm.val&gt;_xlpm.mid),"Eher positiv",AND(_xlpm.val&lt;_xlpm.mid,_xlpm.val&gt;_xlpm.low),"Eher negativ"))</f>
        <v>Negativ</v>
      </c>
      <c r="L88" s="118" t="str" cm="1">
        <f t="array" ref="L88">_xlfn.IFS(
$H88=1,"Keine Anpassung an variable Tarife deutet auf keine Flexibilität hin.",
$H88=2,"Geringe Bereitschaft zur Anpassung an variable Tarife bedeutet geringe Flexibilität.",
$H88=3,"Bereitschaft zur Anpassung an variable Tarife deutet auf eine gewisse Flexibilität hin.",
OR($H88=4,$H88=5),"Anpassung an variable Tarife bedeutet, dass bereits hohe Flexibilität gegeben ist.",
$H88=0,"Nicht ausgefüllt."
)</f>
        <v>Nicht ausgefüllt.</v>
      </c>
      <c r="M88" s="118" t="str">
        <v>Strom- bzw. Energiepreis ändert sich</v>
      </c>
      <c r="N88" s="118">
        <v>0</v>
      </c>
      <c r="O88" s="118">
        <v>5</v>
      </c>
      <c r="P88" s="118">
        <v>0</v>
      </c>
      <c r="Q88" s="118" t="str">
        <v>Negativ</v>
      </c>
      <c r="R88" s="118" t="str">
        <v>Nicht ausgefüllt.</v>
      </c>
    </row>
    <row r="89" spans="1:18" x14ac:dyDescent="0.25">
      <c r="A89" s="118" t="s">
        <v>327</v>
      </c>
      <c r="B89" s="118" t="b">
        <v>1</v>
      </c>
      <c r="C89" s="118" t="b">
        <f>NOT(PROZESSTECHNIK!$C$31="")</f>
        <v>0</v>
      </c>
      <c r="D89" s="118">
        <v>-5</v>
      </c>
      <c r="E89" s="118">
        <v>5</v>
      </c>
      <c r="F89" s="118" t="s">
        <v>301</v>
      </c>
      <c r="G89" s="118">
        <f>IF(NOT($C89),0,$H89*$E$8)</f>
        <v>0</v>
      </c>
      <c r="H89" s="118">
        <f>VLOOKUP(IF($I89=0,$A$137,$I89),$A$136:$B$138,2,FALSE)</f>
        <v>0</v>
      </c>
      <c r="I89" s="118">
        <f>ERGEBNISSE!$L$93</f>
        <v>0</v>
      </c>
    </row>
    <row r="90" spans="1:18" x14ac:dyDescent="0.25">
      <c r="A90" s="205" t="s">
        <v>280</v>
      </c>
    </row>
    <row r="91" spans="1:18" x14ac:dyDescent="0.25">
      <c r="A91" s="118" t="s">
        <v>329</v>
      </c>
      <c r="B91" s="118" t="b">
        <v>1</v>
      </c>
      <c r="C91" s="118" t="b">
        <f>OR(helper_LASTGÄNGE!$B$1=1,helper_LASTGÄNGE!$H$1=1,helper_LASTGÄNGE!$N$1=1,helper_LASTGÄNGE!$T$1=1,helper_LASTGÄNGE!$Z$1=1,helper_LASTGÄNGE!$AF$1=1,helper_LASTGÄNGE!$AL$1=1)</f>
        <v>0</v>
      </c>
      <c r="D91" s="118">
        <v>0</v>
      </c>
      <c r="E91" s="118">
        <v>5</v>
      </c>
      <c r="F91" s="118" t="s">
        <v>330</v>
      </c>
      <c r="G91" s="118">
        <f>IF($C$91,$E$91,$D$91)</f>
        <v>0</v>
      </c>
      <c r="H91" s="118">
        <f>SUM(helper_LASTGÄNGE!$B$1=1,helper_LASTGÄNGE!$H$1=1,helper_LASTGÄNGE!$N$1=1,helper_LASTGÄNGE!$T$1=1,helper_LASTGÄNGE!$Z$1=1,helper_LASTGÄNGE!$AF$1=1,helper_LASTGÄNGE!$AL$1=1)</f>
        <v>0</v>
      </c>
    </row>
    <row r="92" spans="1:18" x14ac:dyDescent="0.25">
      <c r="A92" s="205" t="s">
        <v>133</v>
      </c>
    </row>
    <row r="93" spans="1:18" x14ac:dyDescent="0.25">
      <c r="B93" s="118" t="b">
        <v>1</v>
      </c>
      <c r="C93" s="118" t="b">
        <f>NOT(PROZESSTECHNIK!$C$36="")</f>
        <v>0</v>
      </c>
      <c r="D93" s="118">
        <v>-5</v>
      </c>
      <c r="E93" s="118">
        <v>5</v>
      </c>
      <c r="F93" s="118" t="s">
        <v>301</v>
      </c>
      <c r="G93" s="118">
        <f>IF(NOT($C93),0,$H93*$E$8)</f>
        <v>0</v>
      </c>
      <c r="H93" s="118">
        <f>VLOOKUP(IF($I93=0,$A$137,$I93),$A$136:$B$138,2,FALSE)</f>
        <v>0</v>
      </c>
      <c r="I93" s="118">
        <f>ERGEBNISSE!$L$98</f>
        <v>0</v>
      </c>
    </row>
    <row r="94" spans="1:18" x14ac:dyDescent="0.25">
      <c r="A94" s="205" t="s">
        <v>352</v>
      </c>
      <c r="E94" s="118" cm="1">
        <f t="array" ref="E94">SUM(E$67:E$93*((NOT($B$67:$B$93)+($B$67:$B$93*$C$67:$C$93))&gt;0))</f>
        <v>60</v>
      </c>
      <c r="G94" s="118">
        <f>IF(PROZESSTECHNIK_FILLED,MAX(0,SUM($G$67:$G$93)),0)</f>
        <v>0</v>
      </c>
      <c r="H94" s="118">
        <f>$G94/$E94</f>
        <v>0</v>
      </c>
    </row>
    <row r="95" spans="1:18" x14ac:dyDescent="0.25">
      <c r="A95" s="204" t="s">
        <v>55</v>
      </c>
      <c r="B95" s="118" t="s">
        <v>357</v>
      </c>
      <c r="D95" s="118">
        <v>1</v>
      </c>
    </row>
    <row r="96" spans="1:18" x14ac:dyDescent="0.25">
      <c r="A96" s="205" t="s">
        <v>57</v>
      </c>
    </row>
    <row r="97" spans="1:9" x14ac:dyDescent="0.25">
      <c r="A97" s="118" t="s">
        <v>370</v>
      </c>
      <c r="B97" s="118" t="b">
        <v>0</v>
      </c>
      <c r="C97" s="118" t="b">
        <f>helper_DIGITALISIERUNG!$B5 = 1</f>
        <v>0</v>
      </c>
      <c r="D97" s="118">
        <v>0</v>
      </c>
      <c r="E97" s="118">
        <v>5</v>
      </c>
      <c r="F97" s="118" t="s">
        <v>343</v>
      </c>
      <c r="G97" s="118">
        <f>IF(OR(helper_DIGITALISIERUNG!$B5=0,helper_DIGITALISIERUNG!$C5=1),0,(4-helper_DIGITALISIERUNG!$C5)*FLOOR($E97/2,1)+helper_DIGITALISIERUNG!$E5)</f>
        <v>0</v>
      </c>
    </row>
    <row r="98" spans="1:9" x14ac:dyDescent="0.25">
      <c r="A98" s="118" t="s">
        <v>373</v>
      </c>
      <c r="B98" s="118" t="b">
        <v>0</v>
      </c>
      <c r="C98" s="118" t="b">
        <f>helper_DIGITALISIERUNG!$B6 = 1</f>
        <v>0</v>
      </c>
      <c r="D98" s="118">
        <v>0</v>
      </c>
      <c r="E98" s="118">
        <v>5</v>
      </c>
      <c r="F98" s="118" t="s">
        <v>343</v>
      </c>
      <c r="G98" s="118">
        <f>IF(OR(helper_DIGITALISIERUNG!$B6=0,helper_DIGITALISIERUNG!$C6=1),0,(4-helper_DIGITALISIERUNG!$C6)*FLOOR($E98/2,1)+helper_DIGITALISIERUNG!$E6)</f>
        <v>0</v>
      </c>
    </row>
    <row r="99" spans="1:9" x14ac:dyDescent="0.25">
      <c r="A99" s="118" t="s">
        <v>371</v>
      </c>
      <c r="B99" s="118" t="b">
        <v>0</v>
      </c>
      <c r="C99" s="118" t="b">
        <f>helper_DIGITALISIERUNG!$B7 = 1</f>
        <v>0</v>
      </c>
      <c r="D99" s="118">
        <v>0</v>
      </c>
      <c r="E99" s="118">
        <v>5</v>
      </c>
      <c r="F99" s="118" t="s">
        <v>343</v>
      </c>
      <c r="G99" s="118">
        <f>IF(OR(helper_DIGITALISIERUNG!$B7=0,helper_DIGITALISIERUNG!$C7=1),0,(4-helper_DIGITALISIERUNG!$C7)*FLOOR($E99/2,1)+helper_DIGITALISIERUNG!$E7)</f>
        <v>0</v>
      </c>
    </row>
    <row r="100" spans="1:9" x14ac:dyDescent="0.25">
      <c r="A100" s="118" t="s">
        <v>374</v>
      </c>
      <c r="B100" s="118" t="b">
        <v>0</v>
      </c>
      <c r="C100" s="118" t="b">
        <f>helper_DIGITALISIERUNG!$B8 = 1</f>
        <v>0</v>
      </c>
      <c r="D100" s="118">
        <v>0</v>
      </c>
      <c r="E100" s="118">
        <v>5</v>
      </c>
      <c r="F100" s="118" t="s">
        <v>343</v>
      </c>
      <c r="G100" s="118">
        <f>IF(OR(helper_DIGITALISIERUNG!$B8=0,helper_DIGITALISIERUNG!$C8=1),0,(4-helper_DIGITALISIERUNG!$C8)*FLOOR($E100/2,1)+helper_DIGITALISIERUNG!$E8)</f>
        <v>0</v>
      </c>
    </row>
    <row r="101" spans="1:9" x14ac:dyDescent="0.25">
      <c r="A101" s="118" t="s">
        <v>372</v>
      </c>
      <c r="B101" s="118" t="b">
        <v>0</v>
      </c>
      <c r="C101" s="118" t="b">
        <f>helper_DIGITALISIERUNG!$B9 = 1</f>
        <v>0</v>
      </c>
      <c r="D101" s="118">
        <v>0</v>
      </c>
      <c r="E101" s="118">
        <v>5</v>
      </c>
      <c r="F101" s="118" t="s">
        <v>343</v>
      </c>
      <c r="G101" s="118">
        <f>IF(OR(helper_DIGITALISIERUNG!$B9=0,helper_DIGITALISIERUNG!$C9=1),0,(4-helper_DIGITALISIERUNG!$C9)*FLOOR($E101/2,1)+helper_DIGITALISIERUNG!$E9)</f>
        <v>0</v>
      </c>
    </row>
    <row r="102" spans="1:9" x14ac:dyDescent="0.25">
      <c r="A102" s="118" t="s">
        <v>375</v>
      </c>
      <c r="B102" s="118" t="b">
        <v>0</v>
      </c>
      <c r="C102" s="118" t="b">
        <f>helper_DIGITALISIERUNG!$B10 = 1</f>
        <v>0</v>
      </c>
      <c r="D102" s="118">
        <v>0</v>
      </c>
      <c r="E102" s="118">
        <v>5</v>
      </c>
      <c r="F102" s="118" t="s">
        <v>343</v>
      </c>
      <c r="G102" s="118">
        <f>IF(OR(helper_DIGITALISIERUNG!$B10=0,helper_DIGITALISIERUNG!$C10=1),0,(4-helper_DIGITALISIERUNG!$C10)*FLOOR($E102/2,1)+helper_DIGITALISIERUNG!$E10)</f>
        <v>0</v>
      </c>
    </row>
    <row r="103" spans="1:9" x14ac:dyDescent="0.25">
      <c r="A103" s="118" t="s">
        <v>378</v>
      </c>
      <c r="B103" s="118" t="b">
        <v>0</v>
      </c>
      <c r="C103" s="118" t="b">
        <f>helper_DIGITALISIERUNG!$B11 = 1</f>
        <v>0</v>
      </c>
      <c r="D103" s="118">
        <v>0</v>
      </c>
      <c r="E103" s="118">
        <v>5</v>
      </c>
      <c r="F103" s="118" t="s">
        <v>343</v>
      </c>
      <c r="G103" s="118">
        <f>IF(OR(helper_DIGITALISIERUNG!$B11=0,helper_DIGITALISIERUNG!$C11=1),0,(4-helper_DIGITALISIERUNG!$C11)*FLOOR($E103/2,1)+helper_DIGITALISIERUNG!$E11)</f>
        <v>0</v>
      </c>
    </row>
    <row r="104" spans="1:9" x14ac:dyDescent="0.25">
      <c r="A104" s="118" t="s">
        <v>377</v>
      </c>
      <c r="B104" s="118" t="b">
        <v>0</v>
      </c>
      <c r="C104" s="118" t="b">
        <f>helper_DIGITALISIERUNG!$B12 = 1</f>
        <v>0</v>
      </c>
      <c r="D104" s="118">
        <v>0</v>
      </c>
      <c r="E104" s="118">
        <v>5</v>
      </c>
      <c r="F104" s="118" t="s">
        <v>343</v>
      </c>
      <c r="G104" s="118">
        <f>IF(OR(helper_DIGITALISIERUNG!$B12=0,helper_DIGITALISIERUNG!$C12=1),0,(4-helper_DIGITALISIERUNG!$C12)*FLOOR($E104/2,1)+helper_DIGITALISIERUNG!$E12)</f>
        <v>0</v>
      </c>
    </row>
    <row r="105" spans="1:9" x14ac:dyDescent="0.25">
      <c r="A105" s="118" t="s">
        <v>376</v>
      </c>
      <c r="B105" s="118" t="b">
        <v>0</v>
      </c>
      <c r="C105" s="118" t="b">
        <f>helper_DIGITALISIERUNG!$B13 = 1</f>
        <v>0</v>
      </c>
      <c r="D105" s="118">
        <v>0</v>
      </c>
      <c r="E105" s="118">
        <v>5</v>
      </c>
      <c r="F105" s="118" t="s">
        <v>343</v>
      </c>
      <c r="G105" s="118">
        <f>IF(OR(helper_DIGITALISIERUNG!$B13=0,helper_DIGITALISIERUNG!$C13=1),0,(4-helper_DIGITALISIERUNG!$C13)*FLOOR($E105/2,1)+helper_DIGITALISIERUNG!$E13)</f>
        <v>0</v>
      </c>
    </row>
    <row r="106" spans="1:9" x14ac:dyDescent="0.25">
      <c r="A106" s="118" t="s">
        <v>379</v>
      </c>
      <c r="B106" s="118" t="b">
        <v>0</v>
      </c>
      <c r="C106" s="118" t="b">
        <f>helper_DIGITALISIERUNG!$B14 = 1</f>
        <v>0</v>
      </c>
      <c r="D106" s="118">
        <v>0</v>
      </c>
      <c r="E106" s="118">
        <v>5</v>
      </c>
      <c r="G106" s="118" cm="1">
        <f t="array" ref="G106">_xlfn.IFS(helper_DIGITALISIERUNG!$B14=0,0,helper_DIGITALISIERUNG!$C14=1,FLOOR($E106/2,1)*helper_DIGITALISIERUNG!$E14,helper_DIGITALISIERUNG!$C14=2,$E$106)</f>
        <v>0</v>
      </c>
    </row>
    <row r="107" spans="1:9" x14ac:dyDescent="0.25">
      <c r="A107" s="118" t="s">
        <v>346</v>
      </c>
      <c r="B107" s="118" t="b">
        <v>0</v>
      </c>
      <c r="C107" s="118" t="b">
        <f>helper_DIGITALISIERUNG!$B15 = 1</f>
        <v>0</v>
      </c>
      <c r="D107" s="118">
        <v>-5</v>
      </c>
      <c r="E107" s="118">
        <v>5</v>
      </c>
      <c r="F107" s="118" t="s">
        <v>301</v>
      </c>
      <c r="G107" s="118">
        <f>IF(NOT($C107),0,$H107*$E$8)</f>
        <v>0</v>
      </c>
      <c r="H107" s="118">
        <f>VLOOKUP(IF($I107=0,$A$137,$I107),$A$136:$B$138,2,FALSE)</f>
        <v>0</v>
      </c>
      <c r="I107" s="118">
        <f>ERGEBNISSE!$L$117</f>
        <v>0</v>
      </c>
    </row>
    <row r="108" spans="1:9" x14ac:dyDescent="0.25">
      <c r="A108" s="205" t="s">
        <v>344</v>
      </c>
    </row>
    <row r="109" spans="1:9" x14ac:dyDescent="0.25">
      <c r="B109" s="118" t="b">
        <v>1</v>
      </c>
      <c r="C109" s="118" t="b">
        <f>NOT(DIGITALISIERUNG!$C$31="")</f>
        <v>0</v>
      </c>
      <c r="D109" s="118">
        <v>-5</v>
      </c>
      <c r="E109" s="118">
        <v>5</v>
      </c>
      <c r="F109" s="118" t="s">
        <v>301</v>
      </c>
      <c r="G109" s="118">
        <f>IF(NOT($C109),0,$H109*$E$8)</f>
        <v>0</v>
      </c>
      <c r="H109" s="118">
        <f>VLOOKUP(IF($I109=0,$A$137,$I109),$A$136:$B$138,2,FALSE)</f>
        <v>0</v>
      </c>
      <c r="I109" s="118">
        <f>ERGEBNISSE!$L$120</f>
        <v>0</v>
      </c>
    </row>
    <row r="110" spans="1:9" x14ac:dyDescent="0.25">
      <c r="A110" s="205" t="s">
        <v>352</v>
      </c>
      <c r="E110" s="118" cm="1">
        <f t="array" ref="E110">SUM(E$97:E$109*((NOT($B$97:$B$109)+($B$97:$B$109*$C$97:$C$109))&gt;0))</f>
        <v>55</v>
      </c>
      <c r="G110" s="118">
        <f>IF(DIGITALISIERUNG_FILLED,MAX(0,SUM($G$97:$G$109)),0)</f>
        <v>0</v>
      </c>
      <c r="H110" s="118">
        <f>$G110/$E110</f>
        <v>0</v>
      </c>
    </row>
    <row r="111" spans="1:9" x14ac:dyDescent="0.25">
      <c r="A111" s="204" t="s">
        <v>58</v>
      </c>
      <c r="B111" s="118" t="s">
        <v>357</v>
      </c>
      <c r="D111" s="118">
        <v>1</v>
      </c>
    </row>
    <row r="112" spans="1:9" x14ac:dyDescent="0.25">
      <c r="A112" s="205" t="s">
        <v>60</v>
      </c>
    </row>
    <row r="113" spans="1:9" x14ac:dyDescent="0.25">
      <c r="A113" s="118" t="s">
        <v>381</v>
      </c>
      <c r="B113" s="118" t="b">
        <v>0</v>
      </c>
      <c r="C113" s="118" t="b">
        <f>helper_FLEXIBILISIERUNG!$B5 = 1</f>
        <v>0</v>
      </c>
      <c r="D113" s="118">
        <v>0</v>
      </c>
      <c r="E113" s="118">
        <v>5</v>
      </c>
      <c r="G113" s="208">
        <f>IF(OR(NOT($C113),helper_FLEXIBILISIERUNG!$C5=1),0,FLOOR((4-helper_FLEXIBILISIERUNG!$C5)*$E113/2,1))</f>
        <v>0</v>
      </c>
    </row>
    <row r="114" spans="1:9" x14ac:dyDescent="0.25">
      <c r="A114" s="118" t="s">
        <v>382</v>
      </c>
      <c r="B114" s="118" t="b">
        <v>0</v>
      </c>
      <c r="C114" s="118" t="b">
        <f>helper_FLEXIBILISIERUNG!$B6 = 1</f>
        <v>0</v>
      </c>
      <c r="D114" s="118">
        <v>0</v>
      </c>
      <c r="E114" s="118">
        <v>5</v>
      </c>
      <c r="G114" s="208">
        <f>IF(OR(NOT($C114),helper_FLEXIBILISIERUNG!$C6=1),0,FLOOR((4-helper_FLEXIBILISIERUNG!$C6)*$E114/2,1))</f>
        <v>0</v>
      </c>
    </row>
    <row r="115" spans="1:9" x14ac:dyDescent="0.25">
      <c r="A115" s="118" t="s">
        <v>383</v>
      </c>
      <c r="B115" s="118" t="b">
        <v>0</v>
      </c>
      <c r="C115" s="118" t="b">
        <f>helper_FLEXIBILISIERUNG!$B7 = 1</f>
        <v>0</v>
      </c>
      <c r="D115" s="118">
        <v>0</v>
      </c>
      <c r="E115" s="118">
        <v>5</v>
      </c>
      <c r="G115" s="208">
        <f>IF(OR(NOT($C115),helper_FLEXIBILISIERUNG!$C7=1),0,FLOOR((4-helper_FLEXIBILISIERUNG!$C7)*$E115/2,1))</f>
        <v>0</v>
      </c>
    </row>
    <row r="116" spans="1:9" x14ac:dyDescent="0.25">
      <c r="A116" s="118" t="s">
        <v>350</v>
      </c>
      <c r="B116" s="118" t="b">
        <v>0</v>
      </c>
      <c r="C116" s="118" t="b">
        <f>helper_FLEXIBILISIERUNG!$B8 = 1</f>
        <v>0</v>
      </c>
      <c r="D116" s="118">
        <v>-5</v>
      </c>
      <c r="E116" s="118">
        <v>5</v>
      </c>
      <c r="F116" s="118" t="s">
        <v>301</v>
      </c>
      <c r="G116" s="118">
        <f>IF(NOT($C116),0,$H116*$E$8)</f>
        <v>0</v>
      </c>
      <c r="H116" s="118">
        <f>VLOOKUP(IF($I116=0,$A$137,$I116),$A$136:$B$138,2,FALSE)</f>
        <v>0</v>
      </c>
      <c r="I116" s="118">
        <f>ERGEBNISSE!$L$132</f>
        <v>0</v>
      </c>
    </row>
    <row r="117" spans="1:9" x14ac:dyDescent="0.25">
      <c r="A117" s="205" t="s">
        <v>259</v>
      </c>
    </row>
    <row r="118" spans="1:9" x14ac:dyDescent="0.25">
      <c r="B118" s="118" t="b">
        <v>1</v>
      </c>
      <c r="C118" s="118" t="b">
        <f>NOT(FLEXIBILISIERUNG!$C$25="")</f>
        <v>0</v>
      </c>
      <c r="D118" s="118">
        <v>-5</v>
      </c>
      <c r="E118" s="118">
        <v>5</v>
      </c>
      <c r="F118" s="118" t="s">
        <v>301</v>
      </c>
      <c r="G118" s="118">
        <f>IF(NOT($C118),0,$H118*$E$8)</f>
        <v>0</v>
      </c>
      <c r="H118" s="118">
        <f>VLOOKUP(IF($I118=0,$A$137,$I118),$A$136:$B$138,2,FALSE)</f>
        <v>0</v>
      </c>
      <c r="I118" s="118">
        <f>ERGEBNISSE!$L$135</f>
        <v>0</v>
      </c>
    </row>
    <row r="119" spans="1:9" x14ac:dyDescent="0.25">
      <c r="A119" s="205" t="s">
        <v>352</v>
      </c>
      <c r="E119" s="118" cm="1">
        <f t="array" ref="E119">SUM(E$113:E$118*((NOT($B$113:$B$118)+($B$113:$B$118*$C$113:$C$118))&gt;0))</f>
        <v>20</v>
      </c>
      <c r="G119" s="208">
        <f>IF(FLEXIBILISIERUNG_FILLED,MAX(0,SUM($G$113:$G$118)),0)</f>
        <v>0</v>
      </c>
      <c r="H119" s="118">
        <f>$G119/$E119</f>
        <v>0</v>
      </c>
    </row>
    <row r="121" spans="1:9" x14ac:dyDescent="0.25">
      <c r="B121" s="118" t="s">
        <v>511</v>
      </c>
      <c r="C121" s="118" t="s">
        <v>512</v>
      </c>
      <c r="D121" s="118" t="s">
        <v>513</v>
      </c>
      <c r="E121" s="118" t="s">
        <v>514</v>
      </c>
    </row>
    <row r="122" spans="1:9" x14ac:dyDescent="0.25">
      <c r="A122" s="118" t="s">
        <v>506</v>
      </c>
      <c r="B122" s="118">
        <f>VLOOKUP($A122,$A$1:$D$119,4,FALSE)</f>
        <v>2</v>
      </c>
      <c r="C122" s="118">
        <f>E20</f>
        <v>25</v>
      </c>
      <c r="D122" s="118">
        <f>G20</f>
        <v>0</v>
      </c>
      <c r="E122" s="209">
        <f>$H$20</f>
        <v>0</v>
      </c>
      <c r="F122" s="209"/>
    </row>
    <row r="123" spans="1:9" x14ac:dyDescent="0.25">
      <c r="A123" s="118" t="s">
        <v>507</v>
      </c>
      <c r="B123" s="118">
        <f>VLOOKUP($A123,$A$1:$D$119,4,FALSE)</f>
        <v>2</v>
      </c>
      <c r="C123" s="118">
        <f>E64</f>
        <v>60</v>
      </c>
      <c r="D123" s="118">
        <f>G64</f>
        <v>0</v>
      </c>
      <c r="E123" s="209">
        <f>$H$64</f>
        <v>0</v>
      </c>
      <c r="F123" s="209"/>
    </row>
    <row r="124" spans="1:9" x14ac:dyDescent="0.25">
      <c r="A124" s="118" t="s">
        <v>508</v>
      </c>
      <c r="B124" s="118">
        <f>VLOOKUP($A124,$A$1:$D$119,4,FALSE)</f>
        <v>2</v>
      </c>
      <c r="C124" s="118">
        <f>E94</f>
        <v>60</v>
      </c>
      <c r="D124" s="118">
        <f>G94</f>
        <v>0</v>
      </c>
      <c r="E124" s="209">
        <f>$H$94</f>
        <v>0</v>
      </c>
      <c r="F124" s="209"/>
    </row>
    <row r="125" spans="1:9" x14ac:dyDescent="0.25">
      <c r="A125" s="118" t="s">
        <v>509</v>
      </c>
      <c r="B125" s="118">
        <f>VLOOKUP($A125,$A$1:$D$119,4,FALSE)</f>
        <v>1</v>
      </c>
      <c r="C125" s="118">
        <f>E110</f>
        <v>55</v>
      </c>
      <c r="D125" s="118">
        <f>G110</f>
        <v>0</v>
      </c>
      <c r="E125" s="209">
        <f>$H$110</f>
        <v>0</v>
      </c>
      <c r="F125" s="209"/>
    </row>
    <row r="126" spans="1:9" x14ac:dyDescent="0.25">
      <c r="A126" s="118" t="s">
        <v>510</v>
      </c>
      <c r="B126" s="118">
        <f>VLOOKUP($A126,$A$1:$D$119,4,FALSE)</f>
        <v>1</v>
      </c>
      <c r="C126" s="118">
        <f>E119</f>
        <v>20</v>
      </c>
      <c r="D126" s="208">
        <f>G119</f>
        <v>0</v>
      </c>
      <c r="E126" s="209">
        <f>$H$119</f>
        <v>0</v>
      </c>
      <c r="F126" s="209"/>
    </row>
    <row r="127" spans="1:9" x14ac:dyDescent="0.25">
      <c r="A127" s="118" t="s">
        <v>356</v>
      </c>
      <c r="E127" s="209">
        <f>SUMPRODUCT($B$122:$B$126,$E$122:$E$126)/SUM($B$122:$B$126)</f>
        <v>0</v>
      </c>
      <c r="F127" s="209"/>
      <c r="G127" s="208"/>
    </row>
    <row r="129" spans="1:2" x14ac:dyDescent="0.25">
      <c r="A129" s="210" t="str" cm="1">
        <f t="array" ref="A129">IF(
  AND(UNTERNEHMUNG_FILLED,ENERGIETECHNIK_FILLED,PROZESSTECHNIK_FILLED,DIGITALISIERUNG_FILLED,FLEXIBILISIERUNG_FILLED),
  "Die gemachten Angaben im Tool deuten grundsätzlich auf "&amp;
  _xlfn.LET(
    _xlpm.score, helper_ERGEBNISSE!$E$127,
    _xlfn.IFS(
      _xlpm.score = 0, "keine",
      _xlpm.score &lt; 40%, "eine geringe",
      _xlpm.score &lt; 60%, "eine mittlere",
      _xlpm.score &lt; 80%, "eine hohe",
      _xlpm.score &lt;= 100%, "eine sehr hohe"
    )
  )
  &amp;" Flexibilität des Betriebes hin.","")</f>
        <v/>
      </c>
    </row>
    <row r="130" spans="1:2" x14ac:dyDescent="0.25">
      <c r="A130" s="210" t="str" cm="1">
        <f t="array" ref="A130">IF(
  AND(UNTERNEHMUNG_FILLED,ENERGIETECHNIK_FILLED,PROZESSTECHNIK_FILLED,DIGITALISIERUNG_FILLED,FLEXIBILISIERUNG_FILLED),
  _xlfn.LET(
    _xlpm.categories, helper_ERGEBNISSE!$A$122:$A$126,
    _xlpm.scores, helper_ERGEBNISSE!$E$122:$E$126,
    _xlpm.limit, 80%,
    _xlpm.n_high_scores, COUNTIF(_xlpm.scores,"&gt;="&amp;_xlpm.limit),
    _xlpm.filtered_scores, _xlfn._xlws.FILTER(_xlpm.categories,_xlpm.scores&gt;=_xlpm.limit,""),
    _xlpm.score_string_tmp, _xlfn.TEXTJOIN(", ",TRUE,_xlpm.filtered_scores),
    _xlpm.score_string, IF(_xlpm.n_high_scores &lt; 2, _xlpm.score_string_tmp, SUBSTITUTE(_xlpm.score_string_tmp, ",", " und", _xlpm.n_high_scores-1)),
    IF(
      _xlpm.n_high_scores=0,
      "",
      "Besonders positiv dabei hervorzuheben "&amp;
        IF(
          _xlpm.n_high_scores=1,
          "ist der Bereich "&amp;_xlpm.score_string&amp;" in dem bereits",
          "sind die Bereiche "&amp;_xlpm.score_string&amp;" in denen bereits"
        )
      &amp;" ein sehr hohes Flexibilitätspotential erschlossen wurde. "&amp;
      IF($E$127=100%,
      "Ihr Betrieb ist somit bereits maximal flexibel gestaltet.",
      "Leichte Verbesserungen könnten hier "&amp;IF(_xlpm.n_high_scores &lt; 5, "noch erreicht werden, allerdings wird ein Fokus auf die anderen Bereiche empfohlen.", " noch durch Optimierung der noch nicht als 'Positiv' bewerteten Angaben erreicht werden.")
      )
    )
  ),
"")</f>
        <v/>
      </c>
    </row>
    <row r="131" spans="1:2" x14ac:dyDescent="0.25">
      <c r="A131" s="210" t="str" cm="1">
        <f t="array" ref="A131">IF(
  AND(UNTERNEHMUNG_FILLED,ENERGIETECHNIK_FILLED,PROZESSTECHNIK_FILLED,DIGITALISIERUNG_FILLED,FLEXIBILISIERUNG_FILLED),
  _xlfn.LET(
    _xlpm.categories, helper_ERGEBNISSE!$A$122:$A$126,
    _xlpm.scores, helper_ERGEBNISSE!$E$122:$E$126,
    _xlpm.lower_limit, 40%,
    _xlpm.upper_limit, 80%,
    _xlpm.n_high_scores, COUNTIFS(_xlpm.scores,"&gt;="&amp;_xlpm.lower_limit, _xlpm.scores,"&lt;"&amp;_xlpm.upper_limit),
    _xlpm.filtered_scores, _xlfn._xlws.FILTER(_xlpm.categories,(_xlpm.scores&gt;=_xlpm.lower_limit)*(_xlpm.scores&lt;_xlpm.upper_limit),""),
    _xlpm.score_string_tmp, _xlfn.TEXTJOIN(", ",TRUE,_xlpm.filtered_scores),
    _xlpm.score_string, IF(_xlpm.n_high_scores &lt; 2, _xlpm.score_string_tmp, SUBSTITUTE(_xlpm.score_string_tmp, ",", " und", _xlpm.n_high_scores-1)),
    IF(
      _xlpm.n_high_scores=0,
      "",
        IF(
          _xlpm.n_high_scores=1,
          "In dem Bereich "&amp;_xlpm.score_string&amp;" wurde",
          "In den Bereichen "&amp;_xlpm.score_string&amp;" wurden"
        )
      &amp;" bereits ein gewisses Flexibilitätspotential geschaffen und gehoben. Hier können vermutlich relativ simpel noch einige Verbesserungen getroffen werden."
    )
  ),
"")</f>
        <v/>
      </c>
    </row>
    <row r="132" spans="1:2" x14ac:dyDescent="0.25">
      <c r="A132" s="210" t="str" cm="1">
        <f t="array" ref="A132">IF(
  AND(UNTERNEHMUNG_FILLED,ENERGIETECHNIK_FILLED,PROZESSTECHNIK_FILLED,DIGITALISIERUNG_FILLED,FLEXIBILISIERUNG_FILLED),
  _xlfn.LET(
    _xlpm.categories, helper_ERGEBNISSE!$A$122:$A$126,
    _xlpm.scores, helper_ERGEBNISSE!$E$122:$E$126,
    _xlpm.lower_limit, 0%,
    _xlpm.upper_limit, 40%,
    _xlpm.n_high_scores, COUNTIFS(_xlpm.scores,"&gt;="&amp;_xlpm.lower_limit, _xlpm.scores,"&lt;"&amp;_xlpm.upper_limit),
    _xlpm.filtered_scores, _xlfn._xlws.FILTER(_xlpm.categories,(_xlpm.scores&gt;=_xlpm.lower_limit)*(_xlpm.scores&lt;_xlpm.upper_limit),""),
    _xlpm.score_string_tmp, _xlfn.TEXTJOIN(", ",TRUE,_xlpm.filtered_scores),
    _xlpm.score_string, IF(_xlpm.n_high_scores &lt; 2, _xlpm.score_string_tmp, SUBSTITUTE(_xlpm.score_string_tmp, ",", " und", _xlpm.n_high_scores-1)),
    IF(
      _xlpm.n_high_scores=0,
      "",
        IF(
          _xlpm.n_high_scores=1,
          "Spezifisch im Bereich "&amp;_xlpm.score_string,
          "Spezifisch in den Bereichen "&amp;_xlpm.score_string
        )
      &amp;" besteht allerdings noch hohes Potential zur Flexibilitätsschaffung. Es ist ratsam "&amp;IF(_xlpm.n_high_scores=1,"diesem Bereich","diesen Bereichen")&amp;" besondere Beachtung zu schenken, da diese"&amp;IF(_xlpm.n_high_scores=1,"r","")&amp;" eventuell die Realisierung des Flexibilitätspotentials stark hemmen könnte"&amp;IF(_xlpm.n_high_scores=1,"","n")&amp;"."
    )
  ),
"")</f>
        <v/>
      </c>
    </row>
    <row r="133" spans="1:2" x14ac:dyDescent="0.25">
      <c r="A133" s="210" t="str" cm="1">
        <f t="array" ref="A133">IF(
  AND(UNTERNEHMUNG_FILLED,ENERGIETECHNIK_FILLED,PROZESSTECHNIK_FILLED,DIGITALISIERUNG_FILLED,FLEXIBILISIERUNG_FILLED),
  "Auf Basis dieser Beurteilung empfehlen wir daher"&amp;
  _xlfn.LET(
    _xlpm.score, helper_ERGEBNISSE!$E$127,
    _xlfn.IFS(
      _xlpm.score &lt; 40%, " die Flexibilität in ihrem Betrieb zu erhöhen bevor weitere Maßnahmen und Analysen durchgeführt werden.",
      _xlpm.score &lt; 75%, ", wenn möglich, die Flexibilität in ihrem Betrieb etwas zu erhöhen. Dennoch können bereits weitere detailiertere Analysen durchgeführt werden.",
      _xlpm.score &lt; 100%, " direkt mit detailierteren Analysen der Flexibilität fortzufahren um Potentiale heben zu können.",
      _xlpm.score = 100%, " die vorhandenen Potentiale direkt zu heben. Dafür sollte eine detailierte Analyse der spezifischen Flexibilitäten inklusive techno-ökonomischer Bewertung durchgeführt werden."
    )
  ),
"")</f>
        <v/>
      </c>
    </row>
    <row r="135" spans="1:2" x14ac:dyDescent="0.25">
      <c r="A135" s="118" t="s">
        <v>347</v>
      </c>
    </row>
    <row r="136" spans="1:2" x14ac:dyDescent="0.25">
      <c r="A136" s="118" t="s">
        <v>355</v>
      </c>
      <c r="B136" s="118">
        <v>1</v>
      </c>
    </row>
    <row r="137" spans="1:2" x14ac:dyDescent="0.25">
      <c r="A137" s="118" t="s">
        <v>354</v>
      </c>
      <c r="B137" s="118">
        <v>0</v>
      </c>
    </row>
    <row r="138" spans="1:2" x14ac:dyDescent="0.25">
      <c r="A138" s="118" t="s">
        <v>353</v>
      </c>
      <c r="B138" s="118">
        <v>-1</v>
      </c>
    </row>
  </sheetData>
  <sheetProtection algorithmName="SHA-512" hashValue="t09doyJzeasbRFEKltqpHgLLQmhFNilqWa3xT0aEdtRIaAWlx1wp3KZXHslnHseeO8SsCbKojWKDljUHYI95+w==" saltValue="W9o2AWto7A6hnfKoIwA9gg==" spinCount="100000" sheet="1" selectLockedCells="1" selectUnlockedCells="1"/>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D3C71-FF3D-419D-A1AA-DCC4276D9B94}">
  <sheetPr codeName="TAB62"/>
  <dimension ref="A1:G22"/>
  <sheetViews>
    <sheetView workbookViewId="0">
      <selection sqref="A1:E1048576"/>
    </sheetView>
  </sheetViews>
  <sheetFormatPr defaultColWidth="8.85546875" defaultRowHeight="15" x14ac:dyDescent="0.25"/>
  <cols>
    <col min="1" max="1" width="16.42578125" bestFit="1" customWidth="1"/>
    <col min="2" max="2" width="20.28515625" bestFit="1" customWidth="1"/>
    <col min="3" max="3" width="21" bestFit="1" customWidth="1"/>
    <col min="4" max="4" width="30.85546875" bestFit="1" customWidth="1"/>
    <col min="5" max="5" width="57.28515625" style="5" customWidth="1"/>
    <col min="6" max="7" width="54.42578125" style="5" customWidth="1"/>
  </cols>
  <sheetData>
    <row r="1" spans="1:7" x14ac:dyDescent="0.25">
      <c r="A1" t="s">
        <v>422</v>
      </c>
      <c r="B1" t="s">
        <v>423</v>
      </c>
      <c r="C1" t="s">
        <v>424</v>
      </c>
      <c r="D1" t="s">
        <v>425</v>
      </c>
      <c r="E1" s="5" t="s">
        <v>426</v>
      </c>
      <c r="F1" s="5" t="s">
        <v>427</v>
      </c>
      <c r="G1" s="5" t="s">
        <v>428</v>
      </c>
    </row>
    <row r="2" spans="1:7" ht="75" customHeight="1" x14ac:dyDescent="0.25">
      <c r="A2">
        <v>5</v>
      </c>
      <c r="B2">
        <v>0</v>
      </c>
      <c r="C2">
        <v>0</v>
      </c>
      <c r="D2" s="5" t="str">
        <f t="shared" ref="D2:D21" si="0">_xlfn.LET(
_xlpm.w,A2,
_xlpm.u,B2,
_xlpm.v,C2,
_xlpm.maxVal,MAX(_xlpm.w,_xlpm.u,_xlpm.v),
_xlpm.minVal,MIN(_xlpm.w,_xlpm.u,_xlpm.v),
_xlpm.sumVal,_xlpm.w+_xlpm.u+_xlpm.v,
_xlpm.midVal,_xlpm.sumVal-_xlpm.maxVal-_xlpm.minVal,
_xlpm.maxCat,
IF(_xlpm.w=_xlpm.maxVal,"Wirtschaftlichkeit",
IF(_xlpm.u=_xlpm.maxVal,"Umweltverträglichkeit",
"Versorgungssicherheit")),
_xlpm.midCat,
IF(AND(_xlpm.w&lt;&gt;_xlpm.maxVal,_xlpm.w&lt;&gt;_xlpm.minVal),"Wirtschaftlichkeit",
IF(AND(_xlpm.u&lt;&gt;_xlpm.maxVal,_xlpm.u&lt;&gt;_xlpm.minVal),"Umweltverträglichkeit",
IF(AND(_xlpm.v&lt;&gt;_xlpm.maxVal,_xlpm.v&lt;&gt;_xlpm.minVal),"Versorgungssicherheit",
"Keine klare Tendenz"))),
_xlpm.minCat,
IF(_xlpm.w=_xlpm.minVal,"Wirtschaftlichkeit",
IF(_xlpm.u=_xlpm.minVal,"Umweltverträglichkeit",
"Versorgungssicherheit")),
IF(
AND(_xlpm.maxVal=5,_xlpm.minVal=0,_xlpm.midVal=0),
"Einzelfokus auf "&amp;_xlpm.maxCat,
IF(
AND(_xlpm.maxVal=4,_xlpm.minVal=0,_xlpm.midVal=1),
"Stark fokussiert auf "&amp;_xlpm.maxCat&amp;" mit schwachem Akzent auf "&amp;_xlpm.midCat,
IF(
AND(_xlpm.maxVal=3,_xlpm.midVal=2,_xlpm.minVal=0),
"Dominanz auf "&amp;_xlpm.maxCat&amp;" mit Akzent auf "&amp;_xlpm.midCat,
IF(
AND(_xlpm.maxVal=3,_xlpm.midVal=1,_xlpm.minVal=1),
"Dominanz auf "&amp;_xlpm.maxCat&amp;" mit ausgewogenem Akzent",
IF(
OR(AND(_xlpm.maxVal=2,_xlpm.midVal=2,_xlpm.minVal=1),AND(_xlpm.maxVal=2,_xlpm.midVal=1,_xlpm.minVal=2)),
"Ausgewogen mit niedriger Tendenz zu "&amp;_xlpm.minCat,
IF(
AND(_xlpm.maxVal=3,_xlpm.midVal=1,_xlpm.minVal=1),
"Dominanz auf "&amp;_xlpm.maxCat&amp;" mit sehr schwachem ausgewogenem Akzent",
"Individuelle Verteilung"
)))))))</f>
        <v>Einzelfokus auf Wirtschaftlichkeit</v>
      </c>
      <c r="E2" s="5" t="str">
        <f>_xlfn.LET(
  _xlpm.w, A2,
  _xlpm.u, B2,
  _xlpm.v, C2,
  _xlpm.maxVal, MAX(_xlpm.w, _xlpm.u, _xlpm.v),
  _xlpm.minVal, MIN(_xlpm.w, _xlpm.u, _xlpm.v),
  _xlpm.sumVal, _xlpm.w + _xlpm.u + _xlpm.v,
  _xlpm.midVal, _xlpm.sumVal - _xlpm.maxVal - _xlpm.minVal,
  IF(
    AND(_xlpm.maxVal=5, _xlpm.minVal=0, _xlpm.midVal=0),
    "Eindeutig strategische Priorität auf ein Ziel. Andere Aspekte werden weitgehend ausgeblendet.",
  IF(
    AND(_xlpm.maxVal=4, _xlpm.minVal=0, _xlpm.midVal=1),
    "Klare Zielpriorisierung mit minimaler Berücksichtigung anderer Anforderungen.",
  IF(
    AND(_xlpm.maxVal=3, _xlpm.midVal=2, _xlpm.minVal=0),
    "Fokus auf ein dominierendes Ziel, ergänzt durch gezielte Synergien mit einem Nebenziel.",
  IF(
    AND(_xlpm.maxVal=3, _xlpm.midVal=1, _xlpm.minVal=1),
    "Starke Gewichtung eines Ziels bei weitgehend gleichmäßiger Offenheit gegenüber den übrigen.",
  IF(
    OR(AND(_xlpm.maxVal=2, _xlpm.midVal=2, _xlpm.minVal=1), AND(_xlpm.maxVal=2, _xlpm.midVal=1, _xlpm.minVal=2)),
    "Balancierte Zielstruktur mit leichtem strategischem Impuls in eine Richtung.",
  IF(
    AND(_xlpm.maxVal=2, _xlpm.midVal=2, _xlpm.minVal=1),
    "Strategisch ausgewogene Sichtweise mit etwas verstärktem Interesse an einem Ziel.",
  IF(
    AND(_xlpm.maxVal=3, _xlpm.midVal=1, _xlpm.minVal=1),
    "Ein Ziel dominiert, ohne die restlichen völlig zu vernachlässigen – strategischer Schwerpunkt.",
  "Individuelle Motivationsverteilung – möglicherweise situationsspezifisch oder unklar priorisiert."
  )))))))
)</f>
        <v>Eindeutig strategische Priorität auf ein Ziel. Andere Aspekte werden weitgehend ausgeblendet.</v>
      </c>
      <c r="F2" s="5" t="s">
        <v>431</v>
      </c>
      <c r="G2" s="5" t="s">
        <v>432</v>
      </c>
    </row>
    <row r="3" spans="1:7" ht="75" customHeight="1" x14ac:dyDescent="0.25">
      <c r="A3">
        <v>4</v>
      </c>
      <c r="B3">
        <v>1</v>
      </c>
      <c r="C3">
        <v>0</v>
      </c>
      <c r="D3" s="5" t="str">
        <f t="shared" si="0"/>
        <v>Stark fokussiert auf Wirtschaftlichkeit mit schwachem Akzent auf Umweltverträglichkeit</v>
      </c>
      <c r="E3" s="5" t="str">
        <f t="shared" ref="E3:E21" si="1">_xlfn.LET(
  _xlpm.w, A3,
  _xlpm.u, B3,
  _xlpm.v, C3,
  _xlpm.maxVal, MAX(_xlpm.w, _xlpm.u, _xlpm.v),
  _xlpm.minVal, MIN(_xlpm.w, _xlpm.u, _xlpm.v),
  _xlpm.sumVal, _xlpm.w + _xlpm.u + _xlpm.v,
  _xlpm.midVal, _xlpm.sumVal - _xlpm.maxVal - _xlpm.minVal,
  IF(
    AND(_xlpm.maxVal=5, _xlpm.minVal=0, _xlpm.midVal=0),
    "Eindeutig strategische Priorität auf ein Ziel. Andere Aspekte werden weitgehend ausgeblendet.",
  IF(
    AND(_xlpm.maxVal=4, _xlpm.minVal=0, _xlpm.midVal=1),
    "Klare Zielpriorisierung mit minimaler Berücksichtigung anderer Anforderungen.",
  IF(
    AND(_xlpm.maxVal=3, _xlpm.midVal=2, _xlpm.minVal=0),
    "Fokus auf ein dominierendes Ziel, ergänzt durch gezielte Synergien mit einem Nebenziel.",
  IF(
    AND(_xlpm.maxVal=3, _xlpm.midVal=1, _xlpm.minVal=1),
    "Starke Gewichtung eines Ziels bei weitgehend gleichmäßiger Offenheit gegenüber den übrigen.",
  IF(
    OR(AND(_xlpm.maxVal=2, _xlpm.midVal=2, _xlpm.minVal=1), AND(_xlpm.maxVal=2, _xlpm.midVal=1, _xlpm.minVal=2)),
    "Balancierte Zielstruktur mit leichtem strategischem Impuls in eine Richtung.",
  IF(
    AND(_xlpm.maxVal=2, _xlpm.midVal=2, _xlpm.minVal=1),
    "Strategisch ausgewogene Sichtweise mit etwas verstärktem Interesse an einem Ziel.",
  IF(
    AND(_xlpm.maxVal=3, _xlpm.midVal=1, _xlpm.minVal=1),
    "Ein Ziel dominiert, ohne die restlichen völlig zu vernachlässigen – strategischer Schwerpunkt.",
  "Individuelle Motivationsverteilung – möglicherweise situationsspezifisch oder unklar priorisiert."
  )))))))
)</f>
        <v>Klare Zielpriorisierung mit minimaler Berücksichtigung anderer Anforderungen.</v>
      </c>
      <c r="F3" s="5" t="s">
        <v>433</v>
      </c>
      <c r="G3" s="5" t="s">
        <v>434</v>
      </c>
    </row>
    <row r="4" spans="1:7" ht="75" customHeight="1" x14ac:dyDescent="0.25">
      <c r="A4">
        <v>4</v>
      </c>
      <c r="B4">
        <v>0</v>
      </c>
      <c r="C4">
        <v>1</v>
      </c>
      <c r="D4" s="5" t="str">
        <f t="shared" si="0"/>
        <v>Stark fokussiert auf Wirtschaftlichkeit mit schwachem Akzent auf Versorgungssicherheit</v>
      </c>
      <c r="E4" s="5" t="str">
        <f t="shared" si="1"/>
        <v>Klare Zielpriorisierung mit minimaler Berücksichtigung anderer Anforderungen.</v>
      </c>
      <c r="F4" s="5" t="s">
        <v>435</v>
      </c>
      <c r="G4" s="5" t="s">
        <v>436</v>
      </c>
    </row>
    <row r="5" spans="1:7" ht="75" customHeight="1" x14ac:dyDescent="0.25">
      <c r="A5">
        <v>3</v>
      </c>
      <c r="B5">
        <v>2</v>
      </c>
      <c r="C5">
        <v>0</v>
      </c>
      <c r="D5" s="5" t="str">
        <f t="shared" si="0"/>
        <v>Dominanz auf Wirtschaftlichkeit mit Akzent auf Umweltverträglichkeit</v>
      </c>
      <c r="E5" s="5" t="str">
        <f t="shared" si="1"/>
        <v>Fokus auf ein dominierendes Ziel, ergänzt durch gezielte Synergien mit einem Nebenziel.</v>
      </c>
      <c r="F5" s="5" t="s">
        <v>437</v>
      </c>
      <c r="G5" s="5" t="s">
        <v>438</v>
      </c>
    </row>
    <row r="6" spans="1:7" ht="75" customHeight="1" x14ac:dyDescent="0.25">
      <c r="A6">
        <v>3</v>
      </c>
      <c r="B6">
        <v>0</v>
      </c>
      <c r="C6">
        <v>2</v>
      </c>
      <c r="D6" s="5" t="str">
        <f t="shared" si="0"/>
        <v>Dominanz auf Wirtschaftlichkeit mit Akzent auf Versorgungssicherheit</v>
      </c>
      <c r="E6" s="5" t="str">
        <f t="shared" si="1"/>
        <v>Fokus auf ein dominierendes Ziel, ergänzt durch gezielte Synergien mit einem Nebenziel.</v>
      </c>
      <c r="F6" s="5" t="s">
        <v>439</v>
      </c>
      <c r="G6" s="5" t="s">
        <v>440</v>
      </c>
    </row>
    <row r="7" spans="1:7" ht="75" customHeight="1" x14ac:dyDescent="0.25">
      <c r="A7">
        <v>3</v>
      </c>
      <c r="B7">
        <v>1</v>
      </c>
      <c r="C7">
        <v>1</v>
      </c>
      <c r="D7" s="5" t="str">
        <f t="shared" si="0"/>
        <v>Dominanz auf Wirtschaftlichkeit mit ausgewogenem Akzent</v>
      </c>
      <c r="E7" s="5" t="str">
        <f t="shared" si="1"/>
        <v>Starke Gewichtung eines Ziels bei weitgehend gleichmäßiger Offenheit gegenüber den übrigen.</v>
      </c>
      <c r="F7" s="5" t="s">
        <v>441</v>
      </c>
      <c r="G7" s="5" t="s">
        <v>442</v>
      </c>
    </row>
    <row r="8" spans="1:7" ht="75" customHeight="1" x14ac:dyDescent="0.25">
      <c r="A8">
        <v>2</v>
      </c>
      <c r="B8">
        <v>2</v>
      </c>
      <c r="C8">
        <v>1</v>
      </c>
      <c r="D8" s="5" t="str">
        <f t="shared" si="0"/>
        <v>Ausgewogen mit niedriger Tendenz zu Versorgungssicherheit</v>
      </c>
      <c r="E8" s="5" t="str">
        <f t="shared" si="1"/>
        <v>Balancierte Zielstruktur mit leichtem strategischem Impuls in eine Richtung.</v>
      </c>
      <c r="F8" s="5" t="s">
        <v>443</v>
      </c>
      <c r="G8" s="5" t="s">
        <v>444</v>
      </c>
    </row>
    <row r="9" spans="1:7" ht="75" customHeight="1" x14ac:dyDescent="0.25">
      <c r="A9">
        <v>2</v>
      </c>
      <c r="B9">
        <v>1</v>
      </c>
      <c r="C9">
        <v>2</v>
      </c>
      <c r="D9" s="5" t="str">
        <f t="shared" si="0"/>
        <v>Ausgewogen mit niedriger Tendenz zu Umweltverträglichkeit</v>
      </c>
      <c r="E9" s="5" t="str">
        <f t="shared" si="1"/>
        <v>Balancierte Zielstruktur mit leichtem strategischem Impuls in eine Richtung.</v>
      </c>
      <c r="F9" s="5" t="s">
        <v>445</v>
      </c>
      <c r="G9" s="5" t="s">
        <v>446</v>
      </c>
    </row>
    <row r="10" spans="1:7" ht="75" customHeight="1" x14ac:dyDescent="0.25">
      <c r="A10">
        <v>1</v>
      </c>
      <c r="B10">
        <v>2</v>
      </c>
      <c r="C10">
        <v>2</v>
      </c>
      <c r="D10" s="5" t="str">
        <f t="shared" si="0"/>
        <v>Ausgewogen mit niedriger Tendenz zu Wirtschaftlichkeit</v>
      </c>
      <c r="E10" s="5" t="str">
        <f t="shared" si="1"/>
        <v>Balancierte Zielstruktur mit leichtem strategischem Impuls in eine Richtung.</v>
      </c>
      <c r="F10" s="5" t="s">
        <v>447</v>
      </c>
      <c r="G10" s="5" t="s">
        <v>448</v>
      </c>
    </row>
    <row r="11" spans="1:7" ht="75" customHeight="1" x14ac:dyDescent="0.25">
      <c r="A11">
        <v>2</v>
      </c>
      <c r="B11">
        <v>0</v>
      </c>
      <c r="C11">
        <v>3</v>
      </c>
      <c r="D11" s="5" t="str">
        <f t="shared" si="0"/>
        <v>Dominanz auf Versorgungssicherheit mit Akzent auf Wirtschaftlichkeit</v>
      </c>
      <c r="E11" s="5" t="str">
        <f t="shared" si="1"/>
        <v>Fokus auf ein dominierendes Ziel, ergänzt durch gezielte Synergien mit einem Nebenziel.</v>
      </c>
      <c r="F11" s="5" t="s">
        <v>449</v>
      </c>
      <c r="G11" s="5" t="s">
        <v>450</v>
      </c>
    </row>
    <row r="12" spans="1:7" ht="75" customHeight="1" x14ac:dyDescent="0.25">
      <c r="A12">
        <v>0</v>
      </c>
      <c r="B12">
        <v>5</v>
      </c>
      <c r="C12">
        <v>0</v>
      </c>
      <c r="D12" s="5" t="str">
        <f t="shared" si="0"/>
        <v>Einzelfokus auf Umweltverträglichkeit</v>
      </c>
      <c r="E12" s="5" t="str">
        <f t="shared" si="1"/>
        <v>Eindeutig strategische Priorität auf ein Ziel. Andere Aspekte werden weitgehend ausgeblendet.</v>
      </c>
      <c r="F12" s="5" t="s">
        <v>451</v>
      </c>
      <c r="G12" s="5" t="s">
        <v>452</v>
      </c>
    </row>
    <row r="13" spans="1:7" ht="75" customHeight="1" x14ac:dyDescent="0.25">
      <c r="A13">
        <v>0</v>
      </c>
      <c r="B13">
        <v>4</v>
      </c>
      <c r="C13">
        <v>1</v>
      </c>
      <c r="D13" s="5" t="str">
        <f t="shared" si="0"/>
        <v>Stark fokussiert auf Umweltverträglichkeit mit schwachem Akzent auf Versorgungssicherheit</v>
      </c>
      <c r="E13" s="5" t="str">
        <f t="shared" si="1"/>
        <v>Klare Zielpriorisierung mit minimaler Berücksichtigung anderer Anforderungen.</v>
      </c>
      <c r="F13" s="5" t="s">
        <v>453</v>
      </c>
      <c r="G13" s="5" t="s">
        <v>454</v>
      </c>
    </row>
    <row r="14" spans="1:7" ht="75" customHeight="1" x14ac:dyDescent="0.25">
      <c r="A14">
        <v>0</v>
      </c>
      <c r="B14">
        <v>1</v>
      </c>
      <c r="C14">
        <v>4</v>
      </c>
      <c r="D14" s="5" t="str">
        <f t="shared" si="0"/>
        <v>Stark fokussiert auf Versorgungssicherheit mit schwachem Akzent auf Umweltverträglichkeit</v>
      </c>
      <c r="E14" s="5" t="str">
        <f t="shared" si="1"/>
        <v>Klare Zielpriorisierung mit minimaler Berücksichtigung anderer Anforderungen.</v>
      </c>
      <c r="F14" s="5" t="s">
        <v>455</v>
      </c>
      <c r="G14" s="5" t="s">
        <v>456</v>
      </c>
    </row>
    <row r="15" spans="1:7" ht="75" customHeight="1" x14ac:dyDescent="0.25">
      <c r="A15">
        <v>0</v>
      </c>
      <c r="B15">
        <v>0</v>
      </c>
      <c r="C15">
        <v>5</v>
      </c>
      <c r="D15" s="5" t="str">
        <f t="shared" si="0"/>
        <v>Einzelfokus auf Versorgungssicherheit</v>
      </c>
      <c r="E15" s="5" t="str">
        <f t="shared" si="1"/>
        <v>Eindeutig strategische Priorität auf ein Ziel. Andere Aspekte werden weitgehend ausgeblendet.</v>
      </c>
      <c r="F15" s="5" t="s">
        <v>457</v>
      </c>
      <c r="G15" s="5" t="s">
        <v>458</v>
      </c>
    </row>
    <row r="16" spans="1:7" ht="75" customHeight="1" x14ac:dyDescent="0.25">
      <c r="A16">
        <v>1</v>
      </c>
      <c r="B16">
        <v>4</v>
      </c>
      <c r="C16">
        <v>0</v>
      </c>
      <c r="D16" s="5" t="str">
        <f t="shared" si="0"/>
        <v>Stark fokussiert auf Umweltverträglichkeit mit schwachem Akzent auf Wirtschaftlichkeit</v>
      </c>
      <c r="E16" s="5" t="str">
        <f t="shared" si="1"/>
        <v>Klare Zielpriorisierung mit minimaler Berücksichtigung anderer Anforderungen.</v>
      </c>
      <c r="F16" s="5" t="s">
        <v>459</v>
      </c>
      <c r="G16" s="5" t="s">
        <v>460</v>
      </c>
    </row>
    <row r="17" spans="1:7" ht="75" customHeight="1" x14ac:dyDescent="0.25">
      <c r="A17">
        <v>1</v>
      </c>
      <c r="B17">
        <v>0</v>
      </c>
      <c r="C17">
        <v>4</v>
      </c>
      <c r="D17" s="5" t="str">
        <f t="shared" si="0"/>
        <v>Stark fokussiert auf Versorgungssicherheit mit schwachem Akzent auf Wirtschaftlichkeit</v>
      </c>
      <c r="E17" s="5" t="str">
        <f t="shared" si="1"/>
        <v>Klare Zielpriorisierung mit minimaler Berücksichtigung anderer Anforderungen.</v>
      </c>
      <c r="F17" s="5" t="s">
        <v>461</v>
      </c>
      <c r="G17" s="5" t="s">
        <v>462</v>
      </c>
    </row>
    <row r="18" spans="1:7" ht="75" customHeight="1" x14ac:dyDescent="0.25">
      <c r="A18">
        <v>1</v>
      </c>
      <c r="B18">
        <v>1</v>
      </c>
      <c r="C18">
        <v>3</v>
      </c>
      <c r="D18" s="5" t="str">
        <f t="shared" si="0"/>
        <v>Dominanz auf Versorgungssicherheit mit ausgewogenem Akzent</v>
      </c>
      <c r="E18" s="5" t="str">
        <f t="shared" si="1"/>
        <v>Starke Gewichtung eines Ziels bei weitgehend gleichmäßiger Offenheit gegenüber den übrigen.</v>
      </c>
      <c r="F18" s="5" t="s">
        <v>463</v>
      </c>
      <c r="G18" s="5" t="s">
        <v>464</v>
      </c>
    </row>
    <row r="19" spans="1:7" ht="75" customHeight="1" x14ac:dyDescent="0.25">
      <c r="A19">
        <v>1</v>
      </c>
      <c r="B19">
        <v>3</v>
      </c>
      <c r="C19">
        <v>1</v>
      </c>
      <c r="D19" s="5" t="str">
        <f t="shared" si="0"/>
        <v>Dominanz auf Umweltverträglichkeit mit ausgewogenem Akzent</v>
      </c>
      <c r="E19" s="5" t="str">
        <f t="shared" si="1"/>
        <v>Starke Gewichtung eines Ziels bei weitgehend gleichmäßiger Offenheit gegenüber den übrigen.</v>
      </c>
      <c r="F19" s="5" t="s">
        <v>465</v>
      </c>
      <c r="G19" s="5" t="s">
        <v>466</v>
      </c>
    </row>
    <row r="20" spans="1:7" ht="75" customHeight="1" x14ac:dyDescent="0.25">
      <c r="A20">
        <v>1</v>
      </c>
      <c r="B20">
        <v>2</v>
      </c>
      <c r="C20">
        <v>2</v>
      </c>
      <c r="D20" s="5" t="str">
        <f t="shared" si="0"/>
        <v>Ausgewogen mit niedriger Tendenz zu Wirtschaftlichkeit</v>
      </c>
      <c r="E20" s="5" t="str">
        <f t="shared" si="1"/>
        <v>Balancierte Zielstruktur mit leichtem strategischem Impuls in eine Richtung.</v>
      </c>
      <c r="F20" s="5" t="s">
        <v>467</v>
      </c>
      <c r="G20" s="5" t="s">
        <v>468</v>
      </c>
    </row>
    <row r="21" spans="1:7" ht="75" customHeight="1" x14ac:dyDescent="0.25">
      <c r="A21">
        <v>2</v>
      </c>
      <c r="B21">
        <v>3</v>
      </c>
      <c r="C21">
        <v>0</v>
      </c>
      <c r="D21" s="5" t="str">
        <f t="shared" si="0"/>
        <v>Dominanz auf Umweltverträglichkeit mit Akzent auf Wirtschaftlichkeit</v>
      </c>
      <c r="E21" s="5" t="str">
        <f t="shared" si="1"/>
        <v>Fokus auf ein dominierendes Ziel, ergänzt durch gezielte Synergien mit einem Nebenziel.</v>
      </c>
      <c r="F21" s="5" t="s">
        <v>469</v>
      </c>
      <c r="G21" s="5" t="s">
        <v>470</v>
      </c>
    </row>
    <row r="22" spans="1:7" ht="63.75" customHeight="1" x14ac:dyDescent="0.25"/>
  </sheetData>
  <sheetProtection algorithmName="SHA-512" hashValue="TW2toSaX4JNHy/yRoVbuq4cOQyL3IJNMoyRK+zb7fCk3nihsKJY9K59GPCqnwiuSkpoGzqCa6e3g9BiVQ9MtOw==" saltValue="yfgyY5LMR/j7hLktXzHTHQ==" spinCount="100000" sheet="1" objects="1" scenarios="1" selectLockedCells="1" selectUnlockedCell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37A6-C3B2-4674-A321-D50F47D79BE0}">
  <sheetPr codeName="TAB70">
    <tabColor rgb="FFC6C6C6"/>
  </sheetPr>
  <dimension ref="A1:AQ224"/>
  <sheetViews>
    <sheetView showGridLines="0" showRowColHeaders="0" workbookViewId="0">
      <selection activeCell="C27" sqref="C27"/>
      <extLst>
        <ext xmlns:xlsdti="http://schemas.microsoft.com/office/spreadsheetml/2023/showDataTypeIcons" uri="{77bfe23e-c014-4d31-8a63-9c772dbf06b6}">
          <xlsdti:showDataTypeIcons visible="0"/>
        </ext>
      </extLst>
    </sheetView>
  </sheetViews>
  <sheetFormatPr defaultColWidth="18.7109375" defaultRowHeight="15" outlineLevelCol="2" x14ac:dyDescent="0.25"/>
  <cols>
    <col min="6" max="6" width="2.7109375" style="93" customWidth="1"/>
    <col min="12" max="12" width="2.7109375" style="93" customWidth="1"/>
    <col min="13" max="17" width="18.7109375" hidden="1" customWidth="1" outlineLevel="1"/>
    <col min="18" max="18" width="2.7109375" style="93" hidden="1" customWidth="1" outlineLevel="1"/>
    <col min="19" max="23" width="18.7109375" hidden="1" customWidth="1" outlineLevel="1"/>
    <col min="24" max="24" width="2.7109375" style="93" hidden="1" customWidth="1" outlineLevel="1"/>
    <col min="25" max="29" width="18.7109375" hidden="1" customWidth="1" outlineLevel="2"/>
    <col min="30" max="30" width="2.7109375" style="93" hidden="1" customWidth="1" outlineLevel="2"/>
    <col min="31" max="35" width="18.7109375" hidden="1" customWidth="1" outlineLevel="2"/>
    <col min="36" max="36" width="2.7109375" style="93" hidden="1" customWidth="1" outlineLevel="2"/>
    <col min="37" max="41" width="18.7109375" hidden="1" customWidth="1" outlineLevel="2"/>
    <col min="42" max="42" width="2.7109375" style="93" hidden="1" customWidth="1" outlineLevel="2"/>
    <col min="43" max="43" width="18.7109375" collapsed="1"/>
  </cols>
  <sheetData>
    <row r="1" spans="1:42" ht="60" customHeight="1" x14ac:dyDescent="0.25">
      <c r="A1" s="550" t="s">
        <v>271</v>
      </c>
      <c r="B1" s="551"/>
      <c r="C1" s="551"/>
      <c r="D1" s="551"/>
      <c r="E1" s="551"/>
      <c r="F1" s="551"/>
      <c r="G1" s="551"/>
      <c r="H1" s="551"/>
      <c r="I1" s="551"/>
      <c r="J1" s="551"/>
      <c r="K1" s="551"/>
      <c r="L1" s="105"/>
      <c r="R1"/>
      <c r="X1"/>
      <c r="AD1"/>
      <c r="AJ1"/>
      <c r="AP1"/>
    </row>
    <row r="2" spans="1:42" ht="12.75" customHeight="1" x14ac:dyDescent="0.25">
      <c r="A2" s="106"/>
      <c r="B2" s="107"/>
      <c r="C2" s="107"/>
      <c r="D2" s="107"/>
      <c r="E2" s="107"/>
      <c r="F2" s="91"/>
      <c r="G2" s="107"/>
      <c r="H2" s="107"/>
      <c r="I2" s="107"/>
      <c r="J2" s="107"/>
      <c r="K2" s="107"/>
      <c r="L2" s="108"/>
      <c r="M2" s="106"/>
      <c r="N2" s="107"/>
      <c r="O2" s="107"/>
      <c r="P2" s="107"/>
      <c r="Q2" s="107"/>
      <c r="R2"/>
      <c r="S2" s="106"/>
      <c r="T2" s="107"/>
      <c r="U2" s="107"/>
      <c r="V2" s="107"/>
      <c r="W2" s="107"/>
      <c r="X2"/>
      <c r="Y2" s="106"/>
      <c r="Z2" s="107"/>
      <c r="AA2" s="107"/>
      <c r="AB2" s="107"/>
      <c r="AC2" s="107"/>
      <c r="AD2"/>
      <c r="AE2" s="106"/>
      <c r="AF2" s="107"/>
      <c r="AG2" s="107"/>
      <c r="AH2" s="107"/>
      <c r="AI2" s="107"/>
      <c r="AJ2"/>
      <c r="AK2" s="106"/>
      <c r="AL2" s="107"/>
      <c r="AM2" s="107"/>
      <c r="AN2" s="107"/>
      <c r="AO2" s="107"/>
      <c r="AP2"/>
    </row>
    <row r="3" spans="1:42" ht="90" customHeight="1" x14ac:dyDescent="0.25">
      <c r="A3" s="552" t="s">
        <v>272</v>
      </c>
      <c r="B3" s="553"/>
      <c r="C3" s="553"/>
      <c r="D3" s="553"/>
      <c r="E3" s="553"/>
      <c r="F3" s="553"/>
      <c r="G3" s="553"/>
      <c r="H3" s="553"/>
      <c r="I3" s="553"/>
      <c r="J3" s="553"/>
      <c r="K3" s="553"/>
      <c r="L3" s="108"/>
      <c r="R3"/>
      <c r="X3"/>
      <c r="AD3"/>
      <c r="AJ3"/>
      <c r="AP3"/>
    </row>
    <row r="4" spans="1:42" ht="15.75" thickBot="1" x14ac:dyDescent="0.3">
      <c r="A4" s="109"/>
      <c r="B4" s="110"/>
      <c r="C4" s="110"/>
      <c r="D4" s="110"/>
      <c r="E4" s="110"/>
      <c r="F4" s="110"/>
      <c r="G4" s="110"/>
      <c r="H4" s="110"/>
      <c r="I4" s="110"/>
      <c r="J4" s="110"/>
      <c r="K4" s="110"/>
      <c r="L4" s="111"/>
      <c r="M4" s="109"/>
      <c r="N4" s="110"/>
      <c r="O4" s="110"/>
      <c r="P4" s="110"/>
      <c r="Q4" s="110"/>
      <c r="R4"/>
      <c r="S4" s="109"/>
      <c r="T4" s="110"/>
      <c r="U4" s="110"/>
      <c r="V4" s="110"/>
      <c r="W4" s="110"/>
      <c r="X4"/>
      <c r="Y4" s="109"/>
      <c r="Z4" s="110"/>
      <c r="AA4" s="110"/>
      <c r="AB4" s="110"/>
      <c r="AC4" s="110"/>
      <c r="AD4"/>
      <c r="AE4" s="109"/>
      <c r="AF4" s="110"/>
      <c r="AG4" s="110"/>
      <c r="AH4" s="110"/>
      <c r="AI4" s="110"/>
      <c r="AJ4"/>
      <c r="AK4" s="109"/>
      <c r="AL4" s="110"/>
      <c r="AM4" s="110"/>
      <c r="AN4" s="110"/>
      <c r="AO4" s="110"/>
      <c r="AP4"/>
    </row>
    <row r="5" spans="1:42" x14ac:dyDescent="0.25">
      <c r="A5" s="103" t="s">
        <v>61</v>
      </c>
      <c r="B5" s="554" t="s">
        <v>50</v>
      </c>
      <c r="C5" s="555"/>
      <c r="D5" s="555"/>
      <c r="E5" s="556"/>
      <c r="F5" s="93">
        <f>helper_LASTGÄNGE!B1</f>
        <v>2</v>
      </c>
      <c r="G5" s="103" t="s">
        <v>61</v>
      </c>
      <c r="H5" s="554" t="s">
        <v>263</v>
      </c>
      <c r="I5" s="555"/>
      <c r="J5" s="555"/>
      <c r="K5" s="556"/>
      <c r="L5" s="93">
        <f>helper_LASTGÄNGE!H1</f>
        <v>2</v>
      </c>
      <c r="M5" s="103" t="s">
        <v>61</v>
      </c>
      <c r="N5" s="554" t="s">
        <v>247</v>
      </c>
      <c r="O5" s="555"/>
      <c r="P5" s="555"/>
      <c r="Q5" s="556"/>
      <c r="R5" s="104">
        <f>helper_LASTGÄNGE!$N$1</f>
        <v>2</v>
      </c>
      <c r="S5" s="103" t="s">
        <v>61</v>
      </c>
      <c r="T5" s="554" t="s">
        <v>257</v>
      </c>
      <c r="U5" s="555"/>
      <c r="V5" s="555"/>
      <c r="W5" s="556"/>
      <c r="X5" s="104">
        <f>helper_LASTGÄNGE!T1</f>
        <v>2</v>
      </c>
      <c r="Y5" s="103" t="s">
        <v>61</v>
      </c>
      <c r="Z5" s="554" t="s">
        <v>268</v>
      </c>
      <c r="AA5" s="555"/>
      <c r="AB5" s="555"/>
      <c r="AC5" s="556"/>
      <c r="AD5" s="104">
        <f>helper_LASTGÄNGE!Z1</f>
        <v>2</v>
      </c>
      <c r="AE5" s="103" t="s">
        <v>61</v>
      </c>
      <c r="AF5" s="554" t="s">
        <v>269</v>
      </c>
      <c r="AG5" s="555"/>
      <c r="AH5" s="555"/>
      <c r="AI5" s="556"/>
      <c r="AJ5" s="104">
        <f>helper_LASTGÄNGE!AF1</f>
        <v>2</v>
      </c>
      <c r="AK5" s="103" t="s">
        <v>61</v>
      </c>
      <c r="AL5" s="554" t="s">
        <v>270</v>
      </c>
      <c r="AM5" s="555"/>
      <c r="AN5" s="555"/>
      <c r="AO5" s="556"/>
      <c r="AP5" s="104">
        <f>helper_LASTGÄNGE!AL1</f>
        <v>2</v>
      </c>
    </row>
    <row r="24" spans="1:42" x14ac:dyDescent="0.25">
      <c r="A24" s="94" t="s">
        <v>246</v>
      </c>
      <c r="B24" s="95" t="s">
        <v>260</v>
      </c>
      <c r="C24" s="96" t="s">
        <v>261</v>
      </c>
      <c r="D24" s="548" t="s">
        <v>262</v>
      </c>
      <c r="E24" s="549"/>
      <c r="G24" s="94" t="s">
        <v>246</v>
      </c>
      <c r="H24" s="95" t="s">
        <v>260</v>
      </c>
      <c r="I24" s="96" t="s">
        <v>261</v>
      </c>
      <c r="J24" s="548" t="s">
        <v>262</v>
      </c>
      <c r="K24" s="549"/>
      <c r="M24" s="94" t="s">
        <v>246</v>
      </c>
      <c r="N24" s="95" t="s">
        <v>260</v>
      </c>
      <c r="O24" s="96" t="s">
        <v>261</v>
      </c>
      <c r="P24" s="548" t="s">
        <v>262</v>
      </c>
      <c r="Q24" s="549"/>
      <c r="S24" s="94" t="s">
        <v>246</v>
      </c>
      <c r="T24" s="95" t="s">
        <v>260</v>
      </c>
      <c r="U24" s="96" t="s">
        <v>261</v>
      </c>
      <c r="V24" s="548" t="s">
        <v>262</v>
      </c>
      <c r="W24" s="549"/>
      <c r="Y24" s="94" t="s">
        <v>246</v>
      </c>
      <c r="Z24" s="95" t="s">
        <v>260</v>
      </c>
      <c r="AA24" s="96" t="s">
        <v>261</v>
      </c>
      <c r="AB24" s="548" t="s">
        <v>262</v>
      </c>
      <c r="AC24" s="549"/>
      <c r="AE24" s="94" t="s">
        <v>246</v>
      </c>
      <c r="AF24" s="95" t="s">
        <v>260</v>
      </c>
      <c r="AG24" s="96" t="s">
        <v>261</v>
      </c>
      <c r="AH24" s="548" t="s">
        <v>262</v>
      </c>
      <c r="AI24" s="549"/>
      <c r="AK24" s="94" t="s">
        <v>246</v>
      </c>
      <c r="AL24" s="95" t="s">
        <v>260</v>
      </c>
      <c r="AM24" s="96" t="s">
        <v>261</v>
      </c>
      <c r="AN24" s="548" t="s">
        <v>262</v>
      </c>
      <c r="AO24" s="549"/>
    </row>
    <row r="25" spans="1:42" x14ac:dyDescent="0.25">
      <c r="A25" s="97" t="s">
        <v>62</v>
      </c>
      <c r="B25" s="98" t="s">
        <v>264</v>
      </c>
      <c r="C25" s="99" t="s">
        <v>267</v>
      </c>
      <c r="D25" s="100" t="s">
        <v>266</v>
      </c>
      <c r="E25" s="100" t="s">
        <v>265</v>
      </c>
      <c r="F25" s="128"/>
      <c r="G25" s="97" t="s">
        <v>62</v>
      </c>
      <c r="H25" s="98" t="s">
        <v>264</v>
      </c>
      <c r="I25" s="99" t="s">
        <v>267</v>
      </c>
      <c r="J25" s="100" t="s">
        <v>266</v>
      </c>
      <c r="K25" s="100" t="s">
        <v>265</v>
      </c>
      <c r="L25" s="130"/>
      <c r="M25" s="102" t="s">
        <v>62</v>
      </c>
      <c r="N25" s="98" t="s">
        <v>264</v>
      </c>
      <c r="O25" s="99" t="s">
        <v>267</v>
      </c>
      <c r="P25" s="100" t="s">
        <v>266</v>
      </c>
      <c r="Q25" s="100" t="s">
        <v>265</v>
      </c>
      <c r="R25" s="6"/>
      <c r="S25" s="97" t="s">
        <v>62</v>
      </c>
      <c r="T25" s="98" t="s">
        <v>264</v>
      </c>
      <c r="U25" s="99" t="s">
        <v>267</v>
      </c>
      <c r="V25" s="100" t="s">
        <v>266</v>
      </c>
      <c r="W25" s="100" t="s">
        <v>265</v>
      </c>
      <c r="X25" s="6"/>
      <c r="Y25" s="97" t="s">
        <v>62</v>
      </c>
      <c r="Z25" s="98" t="s">
        <v>264</v>
      </c>
      <c r="AA25" s="99" t="s">
        <v>267</v>
      </c>
      <c r="AB25" s="100" t="s">
        <v>266</v>
      </c>
      <c r="AC25" s="100" t="s">
        <v>265</v>
      </c>
      <c r="AD25" s="6"/>
      <c r="AE25" s="97" t="s">
        <v>62</v>
      </c>
      <c r="AF25" s="98" t="s">
        <v>264</v>
      </c>
      <c r="AG25" s="99" t="s">
        <v>267</v>
      </c>
      <c r="AH25" s="100" t="s">
        <v>266</v>
      </c>
      <c r="AI25" s="100" t="s">
        <v>265</v>
      </c>
      <c r="AJ25" s="6"/>
      <c r="AK25" s="97" t="s">
        <v>62</v>
      </c>
      <c r="AL25" s="98" t="s">
        <v>264</v>
      </c>
      <c r="AM25" s="99" t="s">
        <v>267</v>
      </c>
      <c r="AN25" s="100" t="s">
        <v>266</v>
      </c>
      <c r="AO25" s="100" t="s">
        <v>265</v>
      </c>
      <c r="AP25" s="130"/>
    </row>
    <row r="26" spans="1:42" x14ac:dyDescent="0.25">
      <c r="A26" s="127">
        <v>0</v>
      </c>
      <c r="B26" s="112"/>
      <c r="C26" s="112"/>
      <c r="D26" s="112"/>
      <c r="E26" s="113"/>
      <c r="F26" s="128"/>
      <c r="G26" s="127">
        <v>0</v>
      </c>
      <c r="H26" s="112"/>
      <c r="I26" s="112"/>
      <c r="J26" s="112"/>
      <c r="K26" s="113"/>
      <c r="L26" s="130"/>
      <c r="M26" s="127">
        <v>0</v>
      </c>
      <c r="N26" s="112"/>
      <c r="O26" s="112"/>
      <c r="P26" s="112"/>
      <c r="Q26" s="113"/>
      <c r="R26" s="6"/>
      <c r="S26" s="127">
        <v>0</v>
      </c>
      <c r="T26" s="112"/>
      <c r="U26" s="112"/>
      <c r="V26" s="112"/>
      <c r="W26" s="113"/>
      <c r="X26" s="6"/>
      <c r="Y26" s="127">
        <v>0</v>
      </c>
      <c r="Z26" s="112"/>
      <c r="AA26" s="112"/>
      <c r="AB26" s="112"/>
      <c r="AC26" s="113"/>
      <c r="AD26" s="6"/>
      <c r="AE26" s="127">
        <v>0</v>
      </c>
      <c r="AF26" s="112"/>
      <c r="AG26" s="112"/>
      <c r="AH26" s="112"/>
      <c r="AI26" s="113"/>
      <c r="AJ26" s="6"/>
      <c r="AK26" s="127">
        <v>0</v>
      </c>
      <c r="AL26" s="112"/>
      <c r="AM26" s="112"/>
      <c r="AN26" s="112"/>
      <c r="AO26" s="113"/>
      <c r="AP26" s="130"/>
    </row>
    <row r="27" spans="1:42" x14ac:dyDescent="0.25">
      <c r="A27" s="101"/>
      <c r="B27" s="112"/>
      <c r="C27" s="112"/>
      <c r="D27" s="112"/>
      <c r="E27" s="113"/>
      <c r="F27" s="128"/>
      <c r="G27" s="101"/>
      <c r="H27" s="112"/>
      <c r="I27" s="112"/>
      <c r="J27" s="112"/>
      <c r="K27" s="113"/>
      <c r="L27" s="130"/>
      <c r="M27" s="101"/>
      <c r="N27" s="112"/>
      <c r="O27" s="112"/>
      <c r="P27" s="112"/>
      <c r="Q27" s="113"/>
      <c r="R27" s="6"/>
      <c r="S27" s="101"/>
      <c r="T27" s="112"/>
      <c r="U27" s="112"/>
      <c r="V27" s="112"/>
      <c r="W27" s="113"/>
      <c r="X27" s="6"/>
      <c r="Y27" s="101"/>
      <c r="Z27" s="112"/>
      <c r="AA27" s="112"/>
      <c r="AB27" s="112"/>
      <c r="AC27" s="113"/>
      <c r="AD27" s="6"/>
      <c r="AE27" s="101"/>
      <c r="AF27" s="112"/>
      <c r="AG27" s="112"/>
      <c r="AH27" s="112"/>
      <c r="AI27" s="113"/>
      <c r="AJ27" s="6"/>
      <c r="AK27" s="101"/>
      <c r="AL27" s="112"/>
      <c r="AM27" s="112"/>
      <c r="AN27" s="112"/>
      <c r="AO27" s="113"/>
      <c r="AP27" s="130"/>
    </row>
    <row r="28" spans="1:42" x14ac:dyDescent="0.25">
      <c r="A28" s="101"/>
      <c r="B28" s="112"/>
      <c r="C28" s="112"/>
      <c r="D28" s="112"/>
      <c r="E28" s="113"/>
      <c r="F28" s="128"/>
      <c r="G28" s="101"/>
      <c r="H28" s="112"/>
      <c r="I28" s="112"/>
      <c r="J28" s="112"/>
      <c r="K28" s="113"/>
      <c r="L28" s="130"/>
      <c r="M28" s="101"/>
      <c r="N28" s="112"/>
      <c r="O28" s="112"/>
      <c r="P28" s="112"/>
      <c r="Q28" s="113"/>
      <c r="R28" s="6"/>
      <c r="S28" s="101"/>
      <c r="T28" s="112"/>
      <c r="U28" s="112"/>
      <c r="V28" s="112"/>
      <c r="W28" s="113"/>
      <c r="X28" s="6"/>
      <c r="Y28" s="101"/>
      <c r="Z28" s="112"/>
      <c r="AA28" s="112"/>
      <c r="AB28" s="112"/>
      <c r="AC28" s="113"/>
      <c r="AD28" s="6"/>
      <c r="AE28" s="101"/>
      <c r="AF28" s="112"/>
      <c r="AG28" s="112"/>
      <c r="AH28" s="112"/>
      <c r="AI28" s="113"/>
      <c r="AJ28" s="6"/>
      <c r="AK28" s="101"/>
      <c r="AL28" s="112"/>
      <c r="AM28" s="112"/>
      <c r="AN28" s="112"/>
      <c r="AO28" s="113"/>
      <c r="AP28" s="130"/>
    </row>
    <row r="29" spans="1:42" x14ac:dyDescent="0.25">
      <c r="A29" s="101"/>
      <c r="B29" s="112"/>
      <c r="C29" s="112"/>
      <c r="D29" s="112"/>
      <c r="E29" s="113"/>
      <c r="F29" s="128"/>
      <c r="G29" s="101"/>
      <c r="H29" s="112"/>
      <c r="I29" s="112"/>
      <c r="J29" s="112"/>
      <c r="K29" s="113"/>
      <c r="L29" s="130"/>
      <c r="M29" s="101"/>
      <c r="N29" s="112"/>
      <c r="O29" s="112"/>
      <c r="P29" s="112"/>
      <c r="Q29" s="113"/>
      <c r="R29" s="6"/>
      <c r="S29" s="101"/>
      <c r="T29" s="112"/>
      <c r="U29" s="112"/>
      <c r="V29" s="112"/>
      <c r="W29" s="113"/>
      <c r="X29" s="6"/>
      <c r="Y29" s="101"/>
      <c r="Z29" s="112"/>
      <c r="AA29" s="112"/>
      <c r="AB29" s="112"/>
      <c r="AC29" s="113"/>
      <c r="AD29" s="6"/>
      <c r="AE29" s="101"/>
      <c r="AF29" s="112"/>
      <c r="AG29" s="112"/>
      <c r="AH29" s="112"/>
      <c r="AI29" s="113"/>
      <c r="AJ29" s="6"/>
      <c r="AK29" s="101"/>
      <c r="AL29" s="112"/>
      <c r="AM29" s="112"/>
      <c r="AN29" s="112"/>
      <c r="AO29" s="113"/>
      <c r="AP29" s="130"/>
    </row>
    <row r="30" spans="1:42" x14ac:dyDescent="0.25">
      <c r="A30" s="101"/>
      <c r="B30" s="112"/>
      <c r="C30" s="112"/>
      <c r="D30" s="112"/>
      <c r="E30" s="113"/>
      <c r="F30" s="128"/>
      <c r="G30" s="101"/>
      <c r="H30" s="112"/>
      <c r="I30" s="112"/>
      <c r="J30" s="112"/>
      <c r="K30" s="113"/>
      <c r="L30" s="130"/>
      <c r="M30" s="101"/>
      <c r="N30" s="112"/>
      <c r="O30" s="112"/>
      <c r="P30" s="112"/>
      <c r="Q30" s="113"/>
      <c r="R30" s="6"/>
      <c r="S30" s="101"/>
      <c r="T30" s="112"/>
      <c r="U30" s="112"/>
      <c r="V30" s="112"/>
      <c r="W30" s="113"/>
      <c r="X30" s="6"/>
      <c r="Y30" s="101"/>
      <c r="Z30" s="112"/>
      <c r="AA30" s="112"/>
      <c r="AB30" s="112"/>
      <c r="AC30" s="113"/>
      <c r="AD30" s="6"/>
      <c r="AE30" s="101"/>
      <c r="AF30" s="112"/>
      <c r="AG30" s="112"/>
      <c r="AH30" s="112"/>
      <c r="AI30" s="113"/>
      <c r="AJ30" s="6"/>
      <c r="AK30" s="101"/>
      <c r="AL30" s="112"/>
      <c r="AM30" s="112"/>
      <c r="AN30" s="112"/>
      <c r="AO30" s="113"/>
      <c r="AP30" s="130"/>
    </row>
    <row r="31" spans="1:42" x14ac:dyDescent="0.25">
      <c r="A31" s="101"/>
      <c r="B31" s="112"/>
      <c r="C31" s="112"/>
      <c r="D31" s="112"/>
      <c r="E31" s="113"/>
      <c r="F31" s="128"/>
      <c r="G31" s="101"/>
      <c r="H31" s="112"/>
      <c r="I31" s="112"/>
      <c r="J31" s="112"/>
      <c r="K31" s="113"/>
      <c r="L31" s="130"/>
      <c r="M31" s="101"/>
      <c r="N31" s="112"/>
      <c r="O31" s="112"/>
      <c r="P31" s="112"/>
      <c r="Q31" s="113"/>
      <c r="R31" s="6"/>
      <c r="S31" s="101"/>
      <c r="T31" s="112"/>
      <c r="U31" s="112"/>
      <c r="V31" s="112"/>
      <c r="W31" s="113"/>
      <c r="X31" s="6"/>
      <c r="Y31" s="101"/>
      <c r="Z31" s="112"/>
      <c r="AA31" s="112"/>
      <c r="AB31" s="112"/>
      <c r="AC31" s="113"/>
      <c r="AD31" s="6"/>
      <c r="AE31" s="101"/>
      <c r="AF31" s="112"/>
      <c r="AG31" s="112"/>
      <c r="AH31" s="112"/>
      <c r="AI31" s="113"/>
      <c r="AJ31" s="6"/>
      <c r="AK31" s="101"/>
      <c r="AL31" s="112"/>
      <c r="AM31" s="112"/>
      <c r="AN31" s="112"/>
      <c r="AO31" s="113"/>
      <c r="AP31" s="130"/>
    </row>
    <row r="32" spans="1:42" x14ac:dyDescent="0.25">
      <c r="A32" s="101"/>
      <c r="B32" s="112"/>
      <c r="C32" s="112"/>
      <c r="D32" s="112"/>
      <c r="E32" s="113"/>
      <c r="F32" s="128"/>
      <c r="G32" s="101"/>
      <c r="H32" s="112"/>
      <c r="I32" s="112"/>
      <c r="J32" s="112"/>
      <c r="K32" s="113"/>
      <c r="L32" s="130"/>
      <c r="M32" s="101"/>
      <c r="N32" s="112"/>
      <c r="O32" s="112"/>
      <c r="P32" s="112"/>
      <c r="Q32" s="113"/>
      <c r="R32" s="6"/>
      <c r="S32" s="101"/>
      <c r="T32" s="112"/>
      <c r="U32" s="112"/>
      <c r="V32" s="112"/>
      <c r="W32" s="113"/>
      <c r="X32" s="6"/>
      <c r="Y32" s="101"/>
      <c r="Z32" s="112"/>
      <c r="AA32" s="112"/>
      <c r="AB32" s="112"/>
      <c r="AC32" s="113"/>
      <c r="AD32" s="6"/>
      <c r="AE32" s="101"/>
      <c r="AF32" s="112"/>
      <c r="AG32" s="112"/>
      <c r="AH32" s="112"/>
      <c r="AI32" s="113"/>
      <c r="AJ32" s="6"/>
      <c r="AK32" s="101"/>
      <c r="AL32" s="112"/>
      <c r="AM32" s="112"/>
      <c r="AN32" s="112"/>
      <c r="AO32" s="113"/>
      <c r="AP32" s="130"/>
    </row>
    <row r="33" spans="1:42" x14ac:dyDescent="0.25">
      <c r="A33" s="101"/>
      <c r="B33" s="112"/>
      <c r="C33" s="112"/>
      <c r="D33" s="112"/>
      <c r="E33" s="113"/>
      <c r="F33" s="128"/>
      <c r="G33" s="101"/>
      <c r="H33" s="112"/>
      <c r="I33" s="112"/>
      <c r="J33" s="112"/>
      <c r="K33" s="113"/>
      <c r="L33" s="130"/>
      <c r="M33" s="101"/>
      <c r="N33" s="112"/>
      <c r="O33" s="112"/>
      <c r="P33" s="112"/>
      <c r="Q33" s="113"/>
      <c r="R33" s="6"/>
      <c r="S33" s="101"/>
      <c r="T33" s="112"/>
      <c r="U33" s="112"/>
      <c r="V33" s="112"/>
      <c r="W33" s="113"/>
      <c r="X33" s="6"/>
      <c r="Y33" s="101"/>
      <c r="Z33" s="112"/>
      <c r="AA33" s="112"/>
      <c r="AB33" s="112"/>
      <c r="AC33" s="113"/>
      <c r="AD33" s="6"/>
      <c r="AE33" s="101"/>
      <c r="AF33" s="112"/>
      <c r="AG33" s="112"/>
      <c r="AH33" s="112"/>
      <c r="AI33" s="113"/>
      <c r="AJ33" s="6"/>
      <c r="AK33" s="101"/>
      <c r="AL33" s="112"/>
      <c r="AM33" s="112"/>
      <c r="AN33" s="112"/>
      <c r="AO33" s="113"/>
      <c r="AP33" s="130"/>
    </row>
    <row r="34" spans="1:42" x14ac:dyDescent="0.25">
      <c r="A34" s="101"/>
      <c r="B34" s="112"/>
      <c r="C34" s="112"/>
      <c r="D34" s="112"/>
      <c r="E34" s="113"/>
      <c r="F34" s="128"/>
      <c r="G34" s="101"/>
      <c r="H34" s="112"/>
      <c r="I34" s="112"/>
      <c r="J34" s="112"/>
      <c r="K34" s="113"/>
      <c r="L34" s="130"/>
      <c r="M34" s="101"/>
      <c r="N34" s="112"/>
      <c r="O34" s="112"/>
      <c r="P34" s="112"/>
      <c r="Q34" s="113"/>
      <c r="R34" s="6"/>
      <c r="S34" s="101"/>
      <c r="T34" s="112"/>
      <c r="U34" s="112"/>
      <c r="V34" s="112"/>
      <c r="W34" s="113"/>
      <c r="X34" s="6"/>
      <c r="Y34" s="101"/>
      <c r="Z34" s="112"/>
      <c r="AA34" s="112"/>
      <c r="AB34" s="112"/>
      <c r="AC34" s="113"/>
      <c r="AD34" s="6"/>
      <c r="AE34" s="101"/>
      <c r="AF34" s="112"/>
      <c r="AG34" s="112"/>
      <c r="AH34" s="112"/>
      <c r="AI34" s="113"/>
      <c r="AJ34" s="6"/>
      <c r="AK34" s="101"/>
      <c r="AL34" s="112"/>
      <c r="AM34" s="112"/>
      <c r="AN34" s="112"/>
      <c r="AO34" s="113"/>
      <c r="AP34" s="130"/>
    </row>
    <row r="35" spans="1:42" x14ac:dyDescent="0.25">
      <c r="A35" s="101"/>
      <c r="B35" s="112"/>
      <c r="C35" s="112"/>
      <c r="D35" s="112"/>
      <c r="E35" s="113"/>
      <c r="F35" s="128"/>
      <c r="G35" s="101"/>
      <c r="H35" s="112"/>
      <c r="I35" s="112"/>
      <c r="J35" s="112"/>
      <c r="K35" s="113"/>
      <c r="L35" s="130"/>
      <c r="M35" s="101"/>
      <c r="N35" s="112"/>
      <c r="O35" s="112"/>
      <c r="P35" s="112"/>
      <c r="Q35" s="113"/>
      <c r="R35" s="6"/>
      <c r="S35" s="101"/>
      <c r="T35" s="112"/>
      <c r="U35" s="112"/>
      <c r="V35" s="112"/>
      <c r="W35" s="113"/>
      <c r="X35" s="6"/>
      <c r="Y35" s="101"/>
      <c r="Z35" s="112"/>
      <c r="AA35" s="112"/>
      <c r="AB35" s="112"/>
      <c r="AC35" s="113"/>
      <c r="AD35" s="6"/>
      <c r="AE35" s="101"/>
      <c r="AF35" s="112"/>
      <c r="AG35" s="112"/>
      <c r="AH35" s="112"/>
      <c r="AI35" s="113"/>
      <c r="AJ35" s="6"/>
      <c r="AK35" s="101"/>
      <c r="AL35" s="112"/>
      <c r="AM35" s="112"/>
      <c r="AN35" s="112"/>
      <c r="AO35" s="113"/>
      <c r="AP35" s="130"/>
    </row>
    <row r="36" spans="1:42" x14ac:dyDescent="0.25">
      <c r="A36" s="101"/>
      <c r="B36" s="112"/>
      <c r="C36" s="112"/>
      <c r="D36" s="112"/>
      <c r="E36" s="113"/>
      <c r="F36" s="128"/>
      <c r="G36" s="101"/>
      <c r="H36" s="112"/>
      <c r="I36" s="112"/>
      <c r="J36" s="112"/>
      <c r="K36" s="113"/>
      <c r="L36" s="130"/>
      <c r="M36" s="101"/>
      <c r="N36" s="112"/>
      <c r="O36" s="112"/>
      <c r="P36" s="112"/>
      <c r="Q36" s="113"/>
      <c r="R36" s="6"/>
      <c r="S36" s="101"/>
      <c r="T36" s="112"/>
      <c r="U36" s="112"/>
      <c r="V36" s="112"/>
      <c r="W36" s="113"/>
      <c r="X36" s="6"/>
      <c r="Y36" s="101"/>
      <c r="Z36" s="112"/>
      <c r="AA36" s="112"/>
      <c r="AB36" s="112"/>
      <c r="AC36" s="113"/>
      <c r="AD36" s="6"/>
      <c r="AE36" s="101"/>
      <c r="AF36" s="112"/>
      <c r="AG36" s="112"/>
      <c r="AH36" s="112"/>
      <c r="AI36" s="113"/>
      <c r="AJ36" s="6"/>
      <c r="AK36" s="101"/>
      <c r="AL36" s="112"/>
      <c r="AM36" s="112"/>
      <c r="AN36" s="112"/>
      <c r="AO36" s="113"/>
      <c r="AP36" s="130"/>
    </row>
    <row r="37" spans="1:42" x14ac:dyDescent="0.25">
      <c r="A37" s="101"/>
      <c r="B37" s="112"/>
      <c r="C37" s="112"/>
      <c r="D37" s="112"/>
      <c r="E37" s="113"/>
      <c r="F37" s="128"/>
      <c r="G37" s="101"/>
      <c r="H37" s="112"/>
      <c r="I37" s="112"/>
      <c r="J37" s="112"/>
      <c r="K37" s="113"/>
      <c r="L37" s="130"/>
      <c r="M37" s="101"/>
      <c r="N37" s="112"/>
      <c r="O37" s="112"/>
      <c r="P37" s="112"/>
      <c r="Q37" s="113"/>
      <c r="R37" s="6"/>
      <c r="S37" s="101"/>
      <c r="T37" s="112"/>
      <c r="U37" s="112"/>
      <c r="V37" s="112"/>
      <c r="W37" s="113"/>
      <c r="X37" s="6"/>
      <c r="Y37" s="101"/>
      <c r="Z37" s="112"/>
      <c r="AA37" s="112"/>
      <c r="AB37" s="112"/>
      <c r="AC37" s="113"/>
      <c r="AD37" s="6"/>
      <c r="AE37" s="101"/>
      <c r="AF37" s="112"/>
      <c r="AG37" s="112"/>
      <c r="AH37" s="112"/>
      <c r="AI37" s="113"/>
      <c r="AJ37" s="6"/>
      <c r="AK37" s="101"/>
      <c r="AL37" s="112"/>
      <c r="AM37" s="112"/>
      <c r="AN37" s="112"/>
      <c r="AO37" s="113"/>
      <c r="AP37" s="130"/>
    </row>
    <row r="38" spans="1:42" x14ac:dyDescent="0.25">
      <c r="A38" s="101"/>
      <c r="B38" s="112"/>
      <c r="C38" s="112"/>
      <c r="D38" s="112"/>
      <c r="E38" s="113"/>
      <c r="F38" s="128"/>
      <c r="G38" s="101"/>
      <c r="H38" s="112"/>
      <c r="I38" s="112"/>
      <c r="J38" s="112"/>
      <c r="K38" s="113"/>
      <c r="L38" s="130"/>
      <c r="M38" s="101"/>
      <c r="N38" s="112"/>
      <c r="O38" s="112"/>
      <c r="P38" s="112"/>
      <c r="Q38" s="113"/>
      <c r="R38" s="6"/>
      <c r="S38" s="101"/>
      <c r="T38" s="112"/>
      <c r="U38" s="112"/>
      <c r="V38" s="112"/>
      <c r="W38" s="113"/>
      <c r="X38" s="6"/>
      <c r="Y38" s="101"/>
      <c r="Z38" s="112"/>
      <c r="AA38" s="112"/>
      <c r="AB38" s="112"/>
      <c r="AC38" s="113"/>
      <c r="AD38" s="6"/>
      <c r="AE38" s="101"/>
      <c r="AF38" s="112"/>
      <c r="AG38" s="112"/>
      <c r="AH38" s="112"/>
      <c r="AI38" s="113"/>
      <c r="AJ38" s="6"/>
      <c r="AK38" s="101"/>
      <c r="AL38" s="112"/>
      <c r="AM38" s="112"/>
      <c r="AN38" s="112"/>
      <c r="AO38" s="113"/>
      <c r="AP38" s="130"/>
    </row>
    <row r="39" spans="1:42" x14ac:dyDescent="0.25">
      <c r="A39" s="101"/>
      <c r="B39" s="112"/>
      <c r="C39" s="112"/>
      <c r="D39" s="112"/>
      <c r="E39" s="113"/>
      <c r="F39" s="128"/>
      <c r="G39" s="101"/>
      <c r="H39" s="112"/>
      <c r="I39" s="112"/>
      <c r="J39" s="112"/>
      <c r="K39" s="113"/>
      <c r="L39" s="130"/>
      <c r="M39" s="101"/>
      <c r="N39" s="112"/>
      <c r="O39" s="112"/>
      <c r="P39" s="112"/>
      <c r="Q39" s="113"/>
      <c r="R39" s="6"/>
      <c r="S39" s="101"/>
      <c r="T39" s="112"/>
      <c r="U39" s="112"/>
      <c r="V39" s="112"/>
      <c r="W39" s="113"/>
      <c r="X39" s="6"/>
      <c r="Y39" s="101"/>
      <c r="Z39" s="112"/>
      <c r="AA39" s="112"/>
      <c r="AB39" s="112"/>
      <c r="AC39" s="113"/>
      <c r="AD39" s="6"/>
      <c r="AE39" s="101"/>
      <c r="AF39" s="112"/>
      <c r="AG39" s="112"/>
      <c r="AH39" s="112"/>
      <c r="AI39" s="113"/>
      <c r="AJ39" s="6"/>
      <c r="AK39" s="101"/>
      <c r="AL39" s="112"/>
      <c r="AM39" s="112"/>
      <c r="AN39" s="112"/>
      <c r="AO39" s="113"/>
      <c r="AP39" s="130"/>
    </row>
    <row r="40" spans="1:42" x14ac:dyDescent="0.25">
      <c r="A40" s="101"/>
      <c r="B40" s="112"/>
      <c r="C40" s="112"/>
      <c r="D40" s="112"/>
      <c r="E40" s="113"/>
      <c r="F40" s="128"/>
      <c r="G40" s="101"/>
      <c r="H40" s="112"/>
      <c r="I40" s="112"/>
      <c r="J40" s="112"/>
      <c r="K40" s="113"/>
      <c r="L40" s="130"/>
      <c r="M40" s="101"/>
      <c r="N40" s="112"/>
      <c r="O40" s="112"/>
      <c r="P40" s="112"/>
      <c r="Q40" s="113"/>
      <c r="R40" s="6"/>
      <c r="S40" s="101"/>
      <c r="T40" s="112"/>
      <c r="U40" s="112"/>
      <c r="V40" s="112"/>
      <c r="W40" s="113"/>
      <c r="X40" s="6"/>
      <c r="Y40" s="101"/>
      <c r="Z40" s="112"/>
      <c r="AA40" s="112"/>
      <c r="AB40" s="112"/>
      <c r="AC40" s="113"/>
      <c r="AD40" s="6"/>
      <c r="AE40" s="101"/>
      <c r="AF40" s="112"/>
      <c r="AG40" s="112"/>
      <c r="AH40" s="112"/>
      <c r="AI40" s="113"/>
      <c r="AJ40" s="6"/>
      <c r="AK40" s="101"/>
      <c r="AL40" s="112"/>
      <c r="AM40" s="112"/>
      <c r="AN40" s="112"/>
      <c r="AO40" s="113"/>
      <c r="AP40" s="130"/>
    </row>
    <row r="41" spans="1:42" x14ac:dyDescent="0.25">
      <c r="A41" s="101"/>
      <c r="B41" s="112"/>
      <c r="C41" s="112"/>
      <c r="D41" s="112"/>
      <c r="E41" s="113"/>
      <c r="F41" s="128"/>
      <c r="G41" s="101"/>
      <c r="H41" s="112"/>
      <c r="I41" s="112"/>
      <c r="J41" s="112"/>
      <c r="K41" s="113"/>
      <c r="L41" s="130"/>
      <c r="M41" s="101"/>
      <c r="N41" s="112"/>
      <c r="O41" s="112"/>
      <c r="P41" s="112"/>
      <c r="Q41" s="113"/>
      <c r="R41" s="6"/>
      <c r="S41" s="101"/>
      <c r="T41" s="112"/>
      <c r="U41" s="112"/>
      <c r="V41" s="112"/>
      <c r="W41" s="113"/>
      <c r="X41" s="6"/>
      <c r="Y41" s="101"/>
      <c r="Z41" s="112"/>
      <c r="AA41" s="112"/>
      <c r="AB41" s="112"/>
      <c r="AC41" s="113"/>
      <c r="AD41" s="6"/>
      <c r="AE41" s="101"/>
      <c r="AF41" s="112"/>
      <c r="AG41" s="112"/>
      <c r="AH41" s="112"/>
      <c r="AI41" s="113"/>
      <c r="AJ41" s="6"/>
      <c r="AK41" s="101"/>
      <c r="AL41" s="112"/>
      <c r="AM41" s="112"/>
      <c r="AN41" s="112"/>
      <c r="AO41" s="113"/>
      <c r="AP41" s="130"/>
    </row>
    <row r="42" spans="1:42" x14ac:dyDescent="0.25">
      <c r="A42" s="101"/>
      <c r="B42" s="112"/>
      <c r="C42" s="112"/>
      <c r="D42" s="112"/>
      <c r="E42" s="113"/>
      <c r="F42" s="128"/>
      <c r="G42" s="101"/>
      <c r="H42" s="112"/>
      <c r="I42" s="112"/>
      <c r="J42" s="112"/>
      <c r="K42" s="113"/>
      <c r="L42" s="130"/>
      <c r="M42" s="101"/>
      <c r="N42" s="112"/>
      <c r="O42" s="112"/>
      <c r="P42" s="112"/>
      <c r="Q42" s="113"/>
      <c r="R42" s="6"/>
      <c r="S42" s="101"/>
      <c r="T42" s="112"/>
      <c r="U42" s="112"/>
      <c r="V42" s="112"/>
      <c r="W42" s="113"/>
      <c r="X42" s="6"/>
      <c r="Y42" s="101"/>
      <c r="Z42" s="112"/>
      <c r="AA42" s="112"/>
      <c r="AB42" s="112"/>
      <c r="AC42" s="113"/>
      <c r="AD42" s="6"/>
      <c r="AE42" s="101"/>
      <c r="AF42" s="112"/>
      <c r="AG42" s="112"/>
      <c r="AH42" s="112"/>
      <c r="AI42" s="113"/>
      <c r="AJ42" s="6"/>
      <c r="AK42" s="101"/>
      <c r="AL42" s="112"/>
      <c r="AM42" s="112"/>
      <c r="AN42" s="112"/>
      <c r="AO42" s="113"/>
      <c r="AP42" s="130"/>
    </row>
    <row r="43" spans="1:42" x14ac:dyDescent="0.25">
      <c r="A43" s="101"/>
      <c r="B43" s="112"/>
      <c r="C43" s="112"/>
      <c r="D43" s="112"/>
      <c r="E43" s="113"/>
      <c r="F43" s="129"/>
      <c r="G43" s="101"/>
      <c r="H43" s="112"/>
      <c r="I43" s="112"/>
      <c r="J43" s="112"/>
      <c r="K43" s="113"/>
      <c r="L43" s="131"/>
      <c r="M43" s="101"/>
      <c r="N43" s="112"/>
      <c r="O43" s="112"/>
      <c r="P43" s="112"/>
      <c r="Q43" s="113"/>
      <c r="R43" s="6"/>
      <c r="S43" s="101"/>
      <c r="T43" s="112"/>
      <c r="U43" s="112"/>
      <c r="V43" s="112"/>
      <c r="W43" s="113"/>
      <c r="X43" s="6"/>
      <c r="Y43" s="101"/>
      <c r="Z43" s="112"/>
      <c r="AA43" s="112"/>
      <c r="AB43" s="112"/>
      <c r="AC43" s="113"/>
      <c r="AD43" s="6"/>
      <c r="AE43" s="101"/>
      <c r="AF43" s="112"/>
      <c r="AG43" s="112"/>
      <c r="AH43" s="112"/>
      <c r="AI43" s="113"/>
      <c r="AJ43" s="6"/>
      <c r="AK43" s="101"/>
      <c r="AL43" s="112"/>
      <c r="AM43" s="112"/>
      <c r="AN43" s="112"/>
      <c r="AO43" s="113"/>
      <c r="AP43" s="130"/>
    </row>
    <row r="44" spans="1:42" x14ac:dyDescent="0.25">
      <c r="A44" s="101"/>
      <c r="B44" s="112"/>
      <c r="C44" s="112"/>
      <c r="D44" s="112"/>
      <c r="E44" s="113"/>
      <c r="F44" s="129"/>
      <c r="G44" s="101"/>
      <c r="H44" s="112"/>
      <c r="I44" s="112"/>
      <c r="J44" s="112"/>
      <c r="K44" s="113"/>
      <c r="L44" s="131"/>
      <c r="M44" s="101"/>
      <c r="N44" s="112"/>
      <c r="O44" s="112"/>
      <c r="P44" s="112"/>
      <c r="Q44" s="113"/>
      <c r="R44" s="6"/>
      <c r="S44" s="101"/>
      <c r="T44" s="112"/>
      <c r="U44" s="112"/>
      <c r="V44" s="112"/>
      <c r="W44" s="113"/>
      <c r="X44" s="6"/>
      <c r="Y44" s="101"/>
      <c r="Z44" s="112"/>
      <c r="AA44" s="112"/>
      <c r="AB44" s="112"/>
      <c r="AC44" s="113"/>
      <c r="AD44" s="6"/>
      <c r="AE44" s="101"/>
      <c r="AF44" s="112"/>
      <c r="AG44" s="112"/>
      <c r="AH44" s="112"/>
      <c r="AI44" s="113"/>
      <c r="AJ44" s="6"/>
      <c r="AK44" s="101"/>
      <c r="AL44" s="112"/>
      <c r="AM44" s="112"/>
      <c r="AN44" s="112"/>
      <c r="AO44" s="113"/>
      <c r="AP44" s="130"/>
    </row>
    <row r="45" spans="1:42" x14ac:dyDescent="0.25">
      <c r="A45" s="101"/>
      <c r="B45" s="112"/>
      <c r="C45" s="112"/>
      <c r="D45" s="112"/>
      <c r="E45" s="113"/>
      <c r="F45" s="129"/>
      <c r="G45" s="101"/>
      <c r="H45" s="112"/>
      <c r="I45" s="112"/>
      <c r="J45" s="112"/>
      <c r="K45" s="113"/>
      <c r="L45" s="131"/>
      <c r="M45" s="101"/>
      <c r="N45" s="112"/>
      <c r="O45" s="112"/>
      <c r="P45" s="112"/>
      <c r="Q45" s="113"/>
      <c r="R45" s="6"/>
      <c r="S45" s="101"/>
      <c r="T45" s="112"/>
      <c r="U45" s="112"/>
      <c r="V45" s="112"/>
      <c r="W45" s="113"/>
      <c r="X45" s="6"/>
      <c r="Y45" s="101"/>
      <c r="Z45" s="112"/>
      <c r="AA45" s="112"/>
      <c r="AB45" s="112"/>
      <c r="AC45" s="113"/>
      <c r="AD45" s="6"/>
      <c r="AE45" s="101"/>
      <c r="AF45" s="112"/>
      <c r="AG45" s="112"/>
      <c r="AH45" s="112"/>
      <c r="AI45" s="113"/>
      <c r="AJ45" s="6"/>
      <c r="AK45" s="101"/>
      <c r="AL45" s="112"/>
      <c r="AM45" s="112"/>
      <c r="AN45" s="112"/>
      <c r="AO45" s="113"/>
      <c r="AP45" s="130"/>
    </row>
    <row r="46" spans="1:42" x14ac:dyDescent="0.25">
      <c r="A46" s="101"/>
      <c r="B46" s="112"/>
      <c r="C46" s="112"/>
      <c r="D46" s="112"/>
      <c r="E46" s="113"/>
      <c r="F46" s="129"/>
      <c r="G46" s="101"/>
      <c r="H46" s="112"/>
      <c r="I46" s="112"/>
      <c r="J46" s="112"/>
      <c r="K46" s="113"/>
      <c r="L46" s="131"/>
      <c r="M46" s="101"/>
      <c r="N46" s="112"/>
      <c r="O46" s="112"/>
      <c r="P46" s="112"/>
      <c r="Q46" s="113"/>
      <c r="R46" s="6"/>
      <c r="S46" s="101"/>
      <c r="T46" s="112"/>
      <c r="U46" s="112"/>
      <c r="V46" s="112"/>
      <c r="W46" s="113"/>
      <c r="X46" s="6"/>
      <c r="Y46" s="101"/>
      <c r="Z46" s="112"/>
      <c r="AA46" s="112"/>
      <c r="AB46" s="112"/>
      <c r="AC46" s="113"/>
      <c r="AD46" s="6"/>
      <c r="AE46" s="101"/>
      <c r="AF46" s="112"/>
      <c r="AG46" s="112"/>
      <c r="AH46" s="112"/>
      <c r="AI46" s="113"/>
      <c r="AJ46" s="6"/>
      <c r="AK46" s="101"/>
      <c r="AL46" s="112"/>
      <c r="AM46" s="112"/>
      <c r="AN46" s="112"/>
      <c r="AO46" s="113"/>
      <c r="AP46" s="130"/>
    </row>
    <row r="47" spans="1:42" x14ac:dyDescent="0.25">
      <c r="A47" s="101"/>
      <c r="B47" s="112"/>
      <c r="C47" s="112"/>
      <c r="D47" s="112"/>
      <c r="E47" s="113"/>
      <c r="F47" s="129"/>
      <c r="G47" s="101"/>
      <c r="H47" s="112"/>
      <c r="I47" s="112"/>
      <c r="J47" s="112"/>
      <c r="K47" s="113"/>
      <c r="L47" s="131"/>
      <c r="M47" s="101"/>
      <c r="N47" s="112"/>
      <c r="O47" s="112"/>
      <c r="P47" s="112"/>
      <c r="Q47" s="113"/>
      <c r="R47" s="6"/>
      <c r="S47" s="101"/>
      <c r="T47" s="112"/>
      <c r="U47" s="112"/>
      <c r="V47" s="112"/>
      <c r="W47" s="113"/>
      <c r="X47" s="6"/>
      <c r="Y47" s="101"/>
      <c r="Z47" s="112"/>
      <c r="AA47" s="112"/>
      <c r="AB47" s="112"/>
      <c r="AC47" s="113"/>
      <c r="AD47" s="6"/>
      <c r="AE47" s="101"/>
      <c r="AF47" s="112"/>
      <c r="AG47" s="112"/>
      <c r="AH47" s="112"/>
      <c r="AI47" s="113"/>
      <c r="AJ47" s="6"/>
      <c r="AK47" s="101"/>
      <c r="AL47" s="112"/>
      <c r="AM47" s="112"/>
      <c r="AN47" s="112"/>
      <c r="AO47" s="113"/>
      <c r="AP47" s="130"/>
    </row>
    <row r="48" spans="1:42" x14ac:dyDescent="0.25">
      <c r="A48" s="101"/>
      <c r="B48" s="112"/>
      <c r="C48" s="112"/>
      <c r="D48" s="112"/>
      <c r="E48" s="113"/>
      <c r="F48" s="129"/>
      <c r="G48" s="101"/>
      <c r="H48" s="112"/>
      <c r="I48" s="112"/>
      <c r="J48" s="112"/>
      <c r="K48" s="113"/>
      <c r="L48" s="131"/>
      <c r="M48" s="101"/>
      <c r="N48" s="112"/>
      <c r="O48" s="112"/>
      <c r="P48" s="112"/>
      <c r="Q48" s="113"/>
      <c r="R48" s="6"/>
      <c r="S48" s="101"/>
      <c r="T48" s="112"/>
      <c r="U48" s="112"/>
      <c r="V48" s="112"/>
      <c r="W48" s="113"/>
      <c r="X48" s="6"/>
      <c r="Y48" s="101"/>
      <c r="Z48" s="112"/>
      <c r="AA48" s="112"/>
      <c r="AB48" s="112"/>
      <c r="AC48" s="113"/>
      <c r="AD48" s="6"/>
      <c r="AE48" s="101"/>
      <c r="AF48" s="112"/>
      <c r="AG48" s="112"/>
      <c r="AH48" s="112"/>
      <c r="AI48" s="113"/>
      <c r="AJ48" s="6"/>
      <c r="AK48" s="101"/>
      <c r="AL48" s="112"/>
      <c r="AM48" s="112"/>
      <c r="AN48" s="112"/>
      <c r="AO48" s="113"/>
      <c r="AP48" s="130"/>
    </row>
    <row r="49" spans="1:42" x14ac:dyDescent="0.25">
      <c r="A49" s="101"/>
      <c r="B49" s="112"/>
      <c r="C49" s="112"/>
      <c r="D49" s="112"/>
      <c r="E49" s="113"/>
      <c r="F49" s="129"/>
      <c r="G49" s="101"/>
      <c r="H49" s="112"/>
      <c r="I49" s="112"/>
      <c r="J49" s="112"/>
      <c r="K49" s="113"/>
      <c r="L49" s="131"/>
      <c r="M49" s="101"/>
      <c r="N49" s="112"/>
      <c r="O49" s="112"/>
      <c r="P49" s="112"/>
      <c r="Q49" s="113"/>
      <c r="R49" s="6"/>
      <c r="S49" s="101"/>
      <c r="T49" s="112"/>
      <c r="U49" s="112"/>
      <c r="V49" s="112"/>
      <c r="W49" s="113"/>
      <c r="X49" s="6"/>
      <c r="Y49" s="101"/>
      <c r="Z49" s="112"/>
      <c r="AA49" s="112"/>
      <c r="AB49" s="112"/>
      <c r="AC49" s="113"/>
      <c r="AD49" s="6"/>
      <c r="AE49" s="101"/>
      <c r="AF49" s="112"/>
      <c r="AG49" s="112"/>
      <c r="AH49" s="112"/>
      <c r="AI49" s="113"/>
      <c r="AJ49" s="6"/>
      <c r="AK49" s="101"/>
      <c r="AL49" s="112"/>
      <c r="AM49" s="112"/>
      <c r="AN49" s="112"/>
      <c r="AO49" s="113"/>
      <c r="AP49" s="130"/>
    </row>
    <row r="50" spans="1:42" x14ac:dyDescent="0.25">
      <c r="A50" s="101"/>
      <c r="B50" s="112"/>
      <c r="C50" s="112"/>
      <c r="D50" s="112"/>
      <c r="E50" s="113"/>
      <c r="F50" s="129"/>
      <c r="G50" s="101"/>
      <c r="H50" s="112"/>
      <c r="I50" s="112"/>
      <c r="J50" s="112"/>
      <c r="K50" s="113"/>
      <c r="L50" s="131"/>
      <c r="M50" s="101"/>
      <c r="N50" s="112"/>
      <c r="O50" s="112"/>
      <c r="P50" s="112"/>
      <c r="Q50" s="113"/>
      <c r="R50" s="6"/>
      <c r="S50" s="101"/>
      <c r="T50" s="112"/>
      <c r="U50" s="112"/>
      <c r="V50" s="112"/>
      <c r="W50" s="113"/>
      <c r="X50" s="6"/>
      <c r="Y50" s="101"/>
      <c r="Z50" s="112"/>
      <c r="AA50" s="112"/>
      <c r="AB50" s="112"/>
      <c r="AC50" s="113"/>
      <c r="AD50" s="6"/>
      <c r="AE50" s="101"/>
      <c r="AF50" s="112"/>
      <c r="AG50" s="112"/>
      <c r="AH50" s="112"/>
      <c r="AI50" s="113"/>
      <c r="AJ50" s="6"/>
      <c r="AK50" s="101"/>
      <c r="AL50" s="112"/>
      <c r="AM50" s="112"/>
      <c r="AN50" s="112"/>
      <c r="AO50" s="113"/>
      <c r="AP50" s="130"/>
    </row>
    <row r="51" spans="1:42" x14ac:dyDescent="0.25">
      <c r="A51" s="101"/>
      <c r="B51" s="112"/>
      <c r="C51" s="112"/>
      <c r="D51" s="112"/>
      <c r="E51" s="113"/>
      <c r="F51" s="129"/>
      <c r="G51" s="101"/>
      <c r="H51" s="112"/>
      <c r="I51" s="112"/>
      <c r="J51" s="112"/>
      <c r="K51" s="113"/>
      <c r="L51" s="131"/>
      <c r="M51" s="101"/>
      <c r="N51" s="112"/>
      <c r="O51" s="112"/>
      <c r="P51" s="112"/>
      <c r="Q51" s="113"/>
      <c r="R51" s="6"/>
      <c r="S51" s="101"/>
      <c r="T51" s="112"/>
      <c r="U51" s="112"/>
      <c r="V51" s="112"/>
      <c r="W51" s="113"/>
      <c r="X51" s="6"/>
      <c r="Y51" s="101"/>
      <c r="Z51" s="112"/>
      <c r="AA51" s="112"/>
      <c r="AB51" s="112"/>
      <c r="AC51" s="113"/>
      <c r="AD51" s="6"/>
      <c r="AE51" s="101"/>
      <c r="AF51" s="112"/>
      <c r="AG51" s="112"/>
      <c r="AH51" s="112"/>
      <c r="AI51" s="113"/>
      <c r="AJ51" s="6"/>
      <c r="AK51" s="101"/>
      <c r="AL51" s="112"/>
      <c r="AM51" s="112"/>
      <c r="AN51" s="112"/>
      <c r="AO51" s="113"/>
      <c r="AP51" s="130"/>
    </row>
    <row r="52" spans="1:42" x14ac:dyDescent="0.25">
      <c r="A52" s="101"/>
      <c r="B52" s="112"/>
      <c r="C52" s="112"/>
      <c r="D52" s="112"/>
      <c r="E52" s="113"/>
      <c r="F52" s="129"/>
      <c r="G52" s="101"/>
      <c r="H52" s="112"/>
      <c r="I52" s="112"/>
      <c r="J52" s="112"/>
      <c r="K52" s="113"/>
      <c r="L52" s="131"/>
      <c r="M52" s="101"/>
      <c r="N52" s="112"/>
      <c r="O52" s="112"/>
      <c r="P52" s="112"/>
      <c r="Q52" s="113"/>
      <c r="R52" s="6"/>
      <c r="S52" s="101"/>
      <c r="T52" s="112"/>
      <c r="U52" s="112"/>
      <c r="V52" s="112"/>
      <c r="W52" s="113"/>
      <c r="X52" s="6"/>
      <c r="Y52" s="101"/>
      <c r="Z52" s="112"/>
      <c r="AA52" s="112"/>
      <c r="AB52" s="112"/>
      <c r="AC52" s="113"/>
      <c r="AD52" s="6"/>
      <c r="AE52" s="101"/>
      <c r="AF52" s="112"/>
      <c r="AG52" s="112"/>
      <c r="AH52" s="112"/>
      <c r="AI52" s="113"/>
      <c r="AJ52" s="6"/>
      <c r="AK52" s="101"/>
      <c r="AL52" s="112"/>
      <c r="AM52" s="112"/>
      <c r="AN52" s="112"/>
      <c r="AO52" s="113"/>
      <c r="AP52" s="130"/>
    </row>
    <row r="53" spans="1:42" x14ac:dyDescent="0.25">
      <c r="A53" s="101"/>
      <c r="B53" s="112"/>
      <c r="C53" s="112"/>
      <c r="D53" s="112"/>
      <c r="E53" s="113"/>
      <c r="F53" s="129"/>
      <c r="G53" s="101"/>
      <c r="H53" s="112"/>
      <c r="I53" s="112"/>
      <c r="J53" s="112"/>
      <c r="K53" s="113"/>
      <c r="L53" s="131"/>
      <c r="M53" s="101"/>
      <c r="N53" s="112"/>
      <c r="O53" s="112"/>
      <c r="P53" s="112"/>
      <c r="Q53" s="113"/>
      <c r="R53" s="6"/>
      <c r="S53" s="101"/>
      <c r="T53" s="112"/>
      <c r="U53" s="112"/>
      <c r="V53" s="112"/>
      <c r="W53" s="113"/>
      <c r="X53" s="6"/>
      <c r="Y53" s="101"/>
      <c r="Z53" s="112"/>
      <c r="AA53" s="112"/>
      <c r="AB53" s="112"/>
      <c r="AC53" s="113"/>
      <c r="AD53" s="6"/>
      <c r="AE53" s="101"/>
      <c r="AF53" s="112"/>
      <c r="AG53" s="112"/>
      <c r="AH53" s="112"/>
      <c r="AI53" s="113"/>
      <c r="AJ53" s="6"/>
      <c r="AK53" s="101"/>
      <c r="AL53" s="112"/>
      <c r="AM53" s="112"/>
      <c r="AN53" s="112"/>
      <c r="AO53" s="113"/>
      <c r="AP53" s="130"/>
    </row>
    <row r="54" spans="1:42" x14ac:dyDescent="0.25">
      <c r="A54" s="101"/>
      <c r="B54" s="112"/>
      <c r="C54" s="112"/>
      <c r="D54" s="112"/>
      <c r="E54" s="113"/>
      <c r="F54" s="129"/>
      <c r="G54" s="101"/>
      <c r="H54" s="112"/>
      <c r="I54" s="112"/>
      <c r="J54" s="112"/>
      <c r="K54" s="113"/>
      <c r="L54" s="131"/>
      <c r="M54" s="101"/>
      <c r="N54" s="112"/>
      <c r="O54" s="112"/>
      <c r="P54" s="112"/>
      <c r="Q54" s="113"/>
      <c r="R54" s="6"/>
      <c r="S54" s="101"/>
      <c r="T54" s="112"/>
      <c r="U54" s="112"/>
      <c r="V54" s="112"/>
      <c r="W54" s="113"/>
      <c r="X54" s="6"/>
      <c r="Y54" s="101"/>
      <c r="Z54" s="112"/>
      <c r="AA54" s="112"/>
      <c r="AB54" s="112"/>
      <c r="AC54" s="113"/>
      <c r="AD54" s="6"/>
      <c r="AE54" s="101"/>
      <c r="AF54" s="112"/>
      <c r="AG54" s="112"/>
      <c r="AH54" s="112"/>
      <c r="AI54" s="113"/>
      <c r="AJ54" s="6"/>
      <c r="AK54" s="101"/>
      <c r="AL54" s="112"/>
      <c r="AM54" s="112"/>
      <c r="AN54" s="112"/>
      <c r="AO54" s="113"/>
      <c r="AP54" s="130"/>
    </row>
    <row r="55" spans="1:42" x14ac:dyDescent="0.25">
      <c r="A55" s="101"/>
      <c r="B55" s="112"/>
      <c r="C55" s="112"/>
      <c r="D55" s="112"/>
      <c r="E55" s="113"/>
      <c r="F55" s="129"/>
      <c r="G55" s="101"/>
      <c r="H55" s="112"/>
      <c r="I55" s="112"/>
      <c r="J55" s="112"/>
      <c r="K55" s="113"/>
      <c r="L55" s="131"/>
      <c r="M55" s="101"/>
      <c r="N55" s="112"/>
      <c r="O55" s="112"/>
      <c r="P55" s="112"/>
      <c r="Q55" s="113"/>
      <c r="R55" s="6"/>
      <c r="S55" s="101"/>
      <c r="T55" s="112"/>
      <c r="U55" s="112"/>
      <c r="V55" s="112"/>
      <c r="W55" s="113"/>
      <c r="X55" s="6"/>
      <c r="Y55" s="101"/>
      <c r="Z55" s="112"/>
      <c r="AA55" s="112"/>
      <c r="AB55" s="112"/>
      <c r="AC55" s="113"/>
      <c r="AD55" s="6"/>
      <c r="AE55" s="101"/>
      <c r="AF55" s="112"/>
      <c r="AG55" s="112"/>
      <c r="AH55" s="112"/>
      <c r="AI55" s="113"/>
      <c r="AJ55" s="6"/>
      <c r="AK55" s="101"/>
      <c r="AL55" s="112"/>
      <c r="AM55" s="112"/>
      <c r="AN55" s="112"/>
      <c r="AO55" s="113"/>
      <c r="AP55" s="130"/>
    </row>
    <row r="56" spans="1:42" x14ac:dyDescent="0.25">
      <c r="A56" s="101"/>
      <c r="B56" s="112"/>
      <c r="C56" s="112"/>
      <c r="D56" s="112"/>
      <c r="E56" s="113"/>
      <c r="F56" s="129"/>
      <c r="G56" s="101"/>
      <c r="H56" s="112"/>
      <c r="I56" s="112"/>
      <c r="J56" s="112"/>
      <c r="K56" s="113"/>
      <c r="L56" s="131"/>
      <c r="M56" s="101"/>
      <c r="N56" s="112"/>
      <c r="O56" s="112"/>
      <c r="P56" s="112"/>
      <c r="Q56" s="113"/>
      <c r="R56" s="6"/>
      <c r="S56" s="101"/>
      <c r="T56" s="112"/>
      <c r="U56" s="112"/>
      <c r="V56" s="112"/>
      <c r="W56" s="113"/>
      <c r="X56" s="6"/>
      <c r="Y56" s="101"/>
      <c r="Z56" s="112"/>
      <c r="AA56" s="112"/>
      <c r="AB56" s="112"/>
      <c r="AC56" s="113"/>
      <c r="AD56" s="6"/>
      <c r="AE56" s="101"/>
      <c r="AF56" s="112"/>
      <c r="AG56" s="112"/>
      <c r="AH56" s="112"/>
      <c r="AI56" s="113"/>
      <c r="AJ56" s="6"/>
      <c r="AK56" s="101"/>
      <c r="AL56" s="112"/>
      <c r="AM56" s="112"/>
      <c r="AN56" s="112"/>
      <c r="AO56" s="113"/>
      <c r="AP56" s="130"/>
    </row>
    <row r="57" spans="1:42" x14ac:dyDescent="0.25">
      <c r="A57" s="101"/>
      <c r="B57" s="112"/>
      <c r="C57" s="112"/>
      <c r="D57" s="112"/>
      <c r="E57" s="113"/>
      <c r="F57" s="129"/>
      <c r="G57" s="101"/>
      <c r="H57" s="112"/>
      <c r="I57" s="112"/>
      <c r="J57" s="112"/>
      <c r="K57" s="113"/>
      <c r="L57" s="131"/>
      <c r="M57" s="101"/>
      <c r="N57" s="112"/>
      <c r="O57" s="112"/>
      <c r="P57" s="112"/>
      <c r="Q57" s="113"/>
      <c r="R57" s="6"/>
      <c r="S57" s="101"/>
      <c r="T57" s="112"/>
      <c r="U57" s="112"/>
      <c r="V57" s="112"/>
      <c r="W57" s="113"/>
      <c r="X57" s="6"/>
      <c r="Y57" s="101"/>
      <c r="Z57" s="112"/>
      <c r="AA57" s="112"/>
      <c r="AB57" s="112"/>
      <c r="AC57" s="113"/>
      <c r="AD57" s="6"/>
      <c r="AE57" s="101"/>
      <c r="AF57" s="112"/>
      <c r="AG57" s="112"/>
      <c r="AH57" s="112"/>
      <c r="AI57" s="113"/>
      <c r="AJ57" s="6"/>
      <c r="AK57" s="101"/>
      <c r="AL57" s="112"/>
      <c r="AM57" s="112"/>
      <c r="AN57" s="112"/>
      <c r="AO57" s="113"/>
      <c r="AP57" s="130"/>
    </row>
    <row r="58" spans="1:42" x14ac:dyDescent="0.25">
      <c r="A58" s="101"/>
      <c r="B58" s="112"/>
      <c r="C58" s="112"/>
      <c r="D58" s="112"/>
      <c r="E58" s="113"/>
      <c r="F58" s="129"/>
      <c r="G58" s="101"/>
      <c r="H58" s="112"/>
      <c r="I58" s="112"/>
      <c r="J58" s="112"/>
      <c r="K58" s="113"/>
      <c r="L58" s="131"/>
      <c r="M58" s="101"/>
      <c r="N58" s="112"/>
      <c r="O58" s="112"/>
      <c r="P58" s="112"/>
      <c r="Q58" s="113"/>
      <c r="R58" s="6"/>
      <c r="S58" s="101"/>
      <c r="T58" s="112"/>
      <c r="U58" s="112"/>
      <c r="V58" s="112"/>
      <c r="W58" s="113"/>
      <c r="X58" s="6"/>
      <c r="Y58" s="101"/>
      <c r="Z58" s="112"/>
      <c r="AA58" s="112"/>
      <c r="AB58" s="112"/>
      <c r="AC58" s="113"/>
      <c r="AD58" s="6"/>
      <c r="AE58" s="101"/>
      <c r="AF58" s="112"/>
      <c r="AG58" s="112"/>
      <c r="AH58" s="112"/>
      <c r="AI58" s="113"/>
      <c r="AJ58" s="6"/>
      <c r="AK58" s="101"/>
      <c r="AL58" s="112"/>
      <c r="AM58" s="112"/>
      <c r="AN58" s="112"/>
      <c r="AO58" s="113"/>
      <c r="AP58" s="130"/>
    </row>
    <row r="59" spans="1:42" x14ac:dyDescent="0.25">
      <c r="A59" s="101"/>
      <c r="B59" s="112"/>
      <c r="C59" s="112"/>
      <c r="D59" s="112"/>
      <c r="E59" s="113"/>
      <c r="F59" s="129"/>
      <c r="G59" s="101"/>
      <c r="H59" s="112"/>
      <c r="I59" s="112"/>
      <c r="J59" s="112"/>
      <c r="K59" s="113"/>
      <c r="L59" s="131"/>
      <c r="M59" s="101"/>
      <c r="N59" s="112"/>
      <c r="O59" s="112"/>
      <c r="P59" s="112"/>
      <c r="Q59" s="113"/>
      <c r="R59" s="6"/>
      <c r="S59" s="101"/>
      <c r="T59" s="112"/>
      <c r="U59" s="112"/>
      <c r="V59" s="112"/>
      <c r="W59" s="113"/>
      <c r="X59" s="6"/>
      <c r="Y59" s="101"/>
      <c r="Z59" s="112"/>
      <c r="AA59" s="112"/>
      <c r="AB59" s="112"/>
      <c r="AC59" s="113"/>
      <c r="AD59" s="6"/>
      <c r="AE59" s="101"/>
      <c r="AF59" s="112"/>
      <c r="AG59" s="112"/>
      <c r="AH59" s="112"/>
      <c r="AI59" s="113"/>
      <c r="AJ59" s="6"/>
      <c r="AK59" s="101"/>
      <c r="AL59" s="112"/>
      <c r="AM59" s="112"/>
      <c r="AN59" s="112"/>
      <c r="AO59" s="113"/>
      <c r="AP59" s="130"/>
    </row>
    <row r="60" spans="1:42" x14ac:dyDescent="0.25">
      <c r="A60" s="101"/>
      <c r="B60" s="112"/>
      <c r="C60" s="112"/>
      <c r="D60" s="112"/>
      <c r="E60" s="113"/>
      <c r="F60" s="129"/>
      <c r="G60" s="101"/>
      <c r="H60" s="112"/>
      <c r="I60" s="112"/>
      <c r="J60" s="112"/>
      <c r="K60" s="113"/>
      <c r="L60" s="131"/>
      <c r="M60" s="101"/>
      <c r="N60" s="112"/>
      <c r="O60" s="112"/>
      <c r="P60" s="112"/>
      <c r="Q60" s="113"/>
      <c r="R60" s="6"/>
      <c r="S60" s="101"/>
      <c r="T60" s="112"/>
      <c r="U60" s="112"/>
      <c r="V60" s="112"/>
      <c r="W60" s="113"/>
      <c r="X60" s="6"/>
      <c r="Y60" s="101"/>
      <c r="Z60" s="112"/>
      <c r="AA60" s="112"/>
      <c r="AB60" s="112"/>
      <c r="AC60" s="113"/>
      <c r="AD60" s="6"/>
      <c r="AE60" s="101"/>
      <c r="AF60" s="112"/>
      <c r="AG60" s="112"/>
      <c r="AH60" s="112"/>
      <c r="AI60" s="113"/>
      <c r="AJ60" s="6"/>
      <c r="AK60" s="101"/>
      <c r="AL60" s="112"/>
      <c r="AM60" s="112"/>
      <c r="AN60" s="112"/>
      <c r="AO60" s="113"/>
      <c r="AP60" s="130"/>
    </row>
    <row r="61" spans="1:42" x14ac:dyDescent="0.25">
      <c r="A61" s="101"/>
      <c r="B61" s="112"/>
      <c r="C61" s="112"/>
      <c r="D61" s="112"/>
      <c r="E61" s="113"/>
      <c r="F61" s="129"/>
      <c r="G61" s="101"/>
      <c r="H61" s="112"/>
      <c r="I61" s="112"/>
      <c r="J61" s="112"/>
      <c r="K61" s="113"/>
      <c r="L61" s="131"/>
      <c r="M61" s="101"/>
      <c r="N61" s="112"/>
      <c r="O61" s="112"/>
      <c r="P61" s="112"/>
      <c r="Q61" s="113"/>
      <c r="R61" s="6"/>
      <c r="S61" s="101"/>
      <c r="T61" s="112"/>
      <c r="U61" s="112"/>
      <c r="V61" s="112"/>
      <c r="W61" s="113"/>
      <c r="X61" s="6"/>
      <c r="Y61" s="101"/>
      <c r="Z61" s="112"/>
      <c r="AA61" s="112"/>
      <c r="AB61" s="112"/>
      <c r="AC61" s="113"/>
      <c r="AD61" s="6"/>
      <c r="AE61" s="101"/>
      <c r="AF61" s="112"/>
      <c r="AG61" s="112"/>
      <c r="AH61" s="112"/>
      <c r="AI61" s="113"/>
      <c r="AJ61" s="6"/>
      <c r="AK61" s="101"/>
      <c r="AL61" s="112"/>
      <c r="AM61" s="112"/>
      <c r="AN61" s="112"/>
      <c r="AO61" s="113"/>
      <c r="AP61" s="130"/>
    </row>
    <row r="62" spans="1:42" x14ac:dyDescent="0.25">
      <c r="A62" s="101"/>
      <c r="B62" s="112"/>
      <c r="C62" s="112"/>
      <c r="D62" s="112"/>
      <c r="E62" s="113"/>
      <c r="F62" s="129"/>
      <c r="G62" s="101"/>
      <c r="H62" s="112"/>
      <c r="I62" s="112"/>
      <c r="J62" s="112"/>
      <c r="K62" s="113"/>
      <c r="L62" s="131"/>
      <c r="M62" s="101"/>
      <c r="N62" s="112"/>
      <c r="O62" s="112"/>
      <c r="P62" s="112"/>
      <c r="Q62" s="113"/>
      <c r="R62" s="6"/>
      <c r="S62" s="101"/>
      <c r="T62" s="112"/>
      <c r="U62" s="112"/>
      <c r="V62" s="112"/>
      <c r="W62" s="113"/>
      <c r="X62" s="6"/>
      <c r="Y62" s="101"/>
      <c r="Z62" s="112"/>
      <c r="AA62" s="112"/>
      <c r="AB62" s="112"/>
      <c r="AC62" s="113"/>
      <c r="AD62" s="6"/>
      <c r="AE62" s="101"/>
      <c r="AF62" s="112"/>
      <c r="AG62" s="112"/>
      <c r="AH62" s="112"/>
      <c r="AI62" s="113"/>
      <c r="AJ62" s="6"/>
      <c r="AK62" s="101"/>
      <c r="AL62" s="112"/>
      <c r="AM62" s="112"/>
      <c r="AN62" s="112"/>
      <c r="AO62" s="113"/>
      <c r="AP62" s="130"/>
    </row>
    <row r="63" spans="1:42" x14ac:dyDescent="0.25">
      <c r="A63" s="101"/>
      <c r="B63" s="112"/>
      <c r="C63" s="112"/>
      <c r="D63" s="112"/>
      <c r="E63" s="113"/>
      <c r="F63" s="129"/>
      <c r="G63" s="101"/>
      <c r="H63" s="112"/>
      <c r="I63" s="112"/>
      <c r="J63" s="112"/>
      <c r="K63" s="113"/>
      <c r="L63" s="131"/>
      <c r="M63" s="101"/>
      <c r="N63" s="112"/>
      <c r="O63" s="112"/>
      <c r="P63" s="112"/>
      <c r="Q63" s="113"/>
      <c r="R63" s="6"/>
      <c r="S63" s="101"/>
      <c r="T63" s="112"/>
      <c r="U63" s="112"/>
      <c r="V63" s="112"/>
      <c r="W63" s="113"/>
      <c r="X63" s="6"/>
      <c r="Y63" s="101"/>
      <c r="Z63" s="112"/>
      <c r="AA63" s="112"/>
      <c r="AB63" s="112"/>
      <c r="AC63" s="113"/>
      <c r="AD63" s="6"/>
      <c r="AE63" s="101"/>
      <c r="AF63" s="112"/>
      <c r="AG63" s="112"/>
      <c r="AH63" s="112"/>
      <c r="AI63" s="113"/>
      <c r="AJ63" s="6"/>
      <c r="AK63" s="101"/>
      <c r="AL63" s="112"/>
      <c r="AM63" s="112"/>
      <c r="AN63" s="112"/>
      <c r="AO63" s="113"/>
      <c r="AP63" s="130"/>
    </row>
    <row r="64" spans="1:42" x14ac:dyDescent="0.25">
      <c r="A64" s="101"/>
      <c r="B64" s="112"/>
      <c r="C64" s="112"/>
      <c r="D64" s="112"/>
      <c r="E64" s="113"/>
      <c r="F64" s="129"/>
      <c r="G64" s="101"/>
      <c r="H64" s="112"/>
      <c r="I64" s="112"/>
      <c r="J64" s="112"/>
      <c r="K64" s="113"/>
      <c r="L64" s="131"/>
      <c r="M64" s="101"/>
      <c r="N64" s="112"/>
      <c r="O64" s="112"/>
      <c r="P64" s="112"/>
      <c r="Q64" s="113"/>
      <c r="R64" s="6"/>
      <c r="S64" s="101"/>
      <c r="T64" s="112"/>
      <c r="U64" s="112"/>
      <c r="V64" s="112"/>
      <c r="W64" s="113"/>
      <c r="X64" s="6"/>
      <c r="Y64" s="101"/>
      <c r="Z64" s="112"/>
      <c r="AA64" s="112"/>
      <c r="AB64" s="112"/>
      <c r="AC64" s="113"/>
      <c r="AD64" s="6"/>
      <c r="AE64" s="101"/>
      <c r="AF64" s="112"/>
      <c r="AG64" s="112"/>
      <c r="AH64" s="112"/>
      <c r="AI64" s="113"/>
      <c r="AJ64" s="6"/>
      <c r="AK64" s="101"/>
      <c r="AL64" s="112"/>
      <c r="AM64" s="112"/>
      <c r="AN64" s="112"/>
      <c r="AO64" s="113"/>
      <c r="AP64" s="130"/>
    </row>
    <row r="65" spans="1:42" x14ac:dyDescent="0.25">
      <c r="A65" s="101"/>
      <c r="B65" s="112"/>
      <c r="C65" s="112"/>
      <c r="D65" s="112"/>
      <c r="E65" s="113"/>
      <c r="F65" s="129"/>
      <c r="G65" s="101"/>
      <c r="H65" s="112"/>
      <c r="I65" s="112"/>
      <c r="J65" s="112"/>
      <c r="K65" s="113"/>
      <c r="L65" s="131"/>
      <c r="M65" s="101"/>
      <c r="N65" s="112"/>
      <c r="O65" s="112"/>
      <c r="P65" s="112"/>
      <c r="Q65" s="113"/>
      <c r="R65" s="6"/>
      <c r="S65" s="101"/>
      <c r="T65" s="112"/>
      <c r="U65" s="112"/>
      <c r="V65" s="112"/>
      <c r="W65" s="113"/>
      <c r="X65" s="6"/>
      <c r="Y65" s="101"/>
      <c r="Z65" s="112"/>
      <c r="AA65" s="112"/>
      <c r="AB65" s="112"/>
      <c r="AC65" s="113"/>
      <c r="AD65" s="6"/>
      <c r="AE65" s="101"/>
      <c r="AF65" s="112"/>
      <c r="AG65" s="112"/>
      <c r="AH65" s="112"/>
      <c r="AI65" s="113"/>
      <c r="AJ65" s="6"/>
      <c r="AK65" s="101"/>
      <c r="AL65" s="112"/>
      <c r="AM65" s="112"/>
      <c r="AN65" s="112"/>
      <c r="AO65" s="113"/>
      <c r="AP65" s="130"/>
    </row>
    <row r="66" spans="1:42" x14ac:dyDescent="0.25">
      <c r="A66" s="101"/>
      <c r="B66" s="112"/>
      <c r="C66" s="112"/>
      <c r="D66" s="112"/>
      <c r="E66" s="113"/>
      <c r="F66" s="129"/>
      <c r="G66" s="101"/>
      <c r="H66" s="112"/>
      <c r="I66" s="112"/>
      <c r="J66" s="112"/>
      <c r="K66" s="113"/>
      <c r="L66" s="131"/>
      <c r="M66" s="101"/>
      <c r="N66" s="112"/>
      <c r="O66" s="112"/>
      <c r="P66" s="112"/>
      <c r="Q66" s="113"/>
      <c r="R66" s="6"/>
      <c r="S66" s="101"/>
      <c r="T66" s="112"/>
      <c r="U66" s="112"/>
      <c r="V66" s="112"/>
      <c r="W66" s="113"/>
      <c r="X66" s="6"/>
      <c r="Y66" s="101"/>
      <c r="Z66" s="112"/>
      <c r="AA66" s="112"/>
      <c r="AB66" s="112"/>
      <c r="AC66" s="113"/>
      <c r="AD66" s="6"/>
      <c r="AE66" s="101"/>
      <c r="AF66" s="112"/>
      <c r="AG66" s="112"/>
      <c r="AH66" s="112"/>
      <c r="AI66" s="113"/>
      <c r="AJ66" s="6"/>
      <c r="AK66" s="101"/>
      <c r="AL66" s="112"/>
      <c r="AM66" s="112"/>
      <c r="AN66" s="112"/>
      <c r="AO66" s="113"/>
      <c r="AP66" s="130"/>
    </row>
    <row r="67" spans="1:42" x14ac:dyDescent="0.25">
      <c r="A67" s="101"/>
      <c r="B67" s="112"/>
      <c r="C67" s="112"/>
      <c r="D67" s="112"/>
      <c r="E67" s="113"/>
      <c r="F67" s="129"/>
      <c r="G67" s="101"/>
      <c r="H67" s="112"/>
      <c r="I67" s="112"/>
      <c r="J67" s="112"/>
      <c r="K67" s="113"/>
      <c r="L67" s="131"/>
      <c r="M67" s="101"/>
      <c r="N67" s="112"/>
      <c r="O67" s="112"/>
      <c r="P67" s="112"/>
      <c r="Q67" s="113"/>
      <c r="R67" s="6"/>
      <c r="S67" s="101"/>
      <c r="T67" s="112"/>
      <c r="U67" s="112"/>
      <c r="V67" s="112"/>
      <c r="W67" s="113"/>
      <c r="X67" s="6"/>
      <c r="Y67" s="101"/>
      <c r="Z67" s="112"/>
      <c r="AA67" s="112"/>
      <c r="AB67" s="112"/>
      <c r="AC67" s="113"/>
      <c r="AD67" s="6"/>
      <c r="AE67" s="101"/>
      <c r="AF67" s="112"/>
      <c r="AG67" s="112"/>
      <c r="AH67" s="112"/>
      <c r="AI67" s="113"/>
      <c r="AJ67" s="6"/>
      <c r="AK67" s="101"/>
      <c r="AL67" s="112"/>
      <c r="AM67" s="112"/>
      <c r="AN67" s="112"/>
      <c r="AO67" s="113"/>
      <c r="AP67" s="130"/>
    </row>
    <row r="68" spans="1:42" x14ac:dyDescent="0.25">
      <c r="A68" s="101"/>
      <c r="B68" s="112"/>
      <c r="C68" s="112"/>
      <c r="D68" s="112"/>
      <c r="E68" s="113"/>
      <c r="F68" s="129"/>
      <c r="G68" s="101"/>
      <c r="H68" s="112"/>
      <c r="I68" s="112"/>
      <c r="J68" s="112"/>
      <c r="K68" s="113"/>
      <c r="L68" s="131"/>
      <c r="M68" s="101"/>
      <c r="N68" s="112"/>
      <c r="O68" s="112"/>
      <c r="P68" s="112"/>
      <c r="Q68" s="113"/>
      <c r="R68" s="133"/>
      <c r="S68" s="101"/>
      <c r="T68" s="112"/>
      <c r="U68" s="112"/>
      <c r="V68" s="112"/>
      <c r="W68" s="113"/>
      <c r="X68" s="133"/>
      <c r="Y68" s="101"/>
      <c r="Z68" s="112"/>
      <c r="AA68" s="112"/>
      <c r="AB68" s="112"/>
      <c r="AC68" s="113"/>
      <c r="AD68" s="133"/>
      <c r="AE68" s="101"/>
      <c r="AF68" s="112"/>
      <c r="AG68" s="112"/>
      <c r="AH68" s="112"/>
      <c r="AI68" s="113"/>
      <c r="AJ68" s="133"/>
      <c r="AK68" s="101"/>
      <c r="AL68" s="112"/>
      <c r="AM68" s="112"/>
      <c r="AN68" s="112"/>
      <c r="AO68" s="113"/>
      <c r="AP68" s="132"/>
    </row>
    <row r="69" spans="1:42" x14ac:dyDescent="0.25">
      <c r="A69" s="101"/>
      <c r="B69" s="112"/>
      <c r="C69" s="112"/>
      <c r="D69" s="112"/>
      <c r="E69" s="113"/>
      <c r="F69" s="129"/>
      <c r="G69" s="101"/>
      <c r="H69" s="112"/>
      <c r="I69" s="112"/>
      <c r="J69" s="112"/>
      <c r="K69" s="113"/>
      <c r="L69" s="131"/>
      <c r="M69" s="101"/>
      <c r="N69" s="112"/>
      <c r="O69" s="112"/>
      <c r="P69" s="112"/>
      <c r="Q69" s="113"/>
      <c r="R69" s="6"/>
      <c r="S69" s="101"/>
      <c r="T69" s="112"/>
      <c r="U69" s="112"/>
      <c r="V69" s="112"/>
      <c r="W69" s="113"/>
      <c r="X69" s="6"/>
      <c r="Y69" s="101"/>
      <c r="Z69" s="112"/>
      <c r="AA69" s="112"/>
      <c r="AB69" s="112"/>
      <c r="AC69" s="113"/>
      <c r="AD69" s="6"/>
      <c r="AE69" s="101"/>
      <c r="AF69" s="112"/>
      <c r="AG69" s="112"/>
      <c r="AH69" s="112"/>
      <c r="AI69" s="113"/>
      <c r="AJ69" s="6"/>
      <c r="AK69" s="101"/>
      <c r="AL69" s="112"/>
      <c r="AM69" s="112"/>
      <c r="AN69" s="112"/>
      <c r="AO69" s="113"/>
      <c r="AP69" s="130"/>
    </row>
    <row r="70" spans="1:42" x14ac:dyDescent="0.25">
      <c r="A70" s="101"/>
      <c r="B70" s="112"/>
      <c r="C70" s="112"/>
      <c r="D70" s="112"/>
      <c r="E70" s="113"/>
      <c r="F70" s="129"/>
      <c r="G70" s="101"/>
      <c r="H70" s="112"/>
      <c r="I70" s="112"/>
      <c r="J70" s="112"/>
      <c r="K70" s="113"/>
      <c r="L70" s="131"/>
      <c r="M70" s="101"/>
      <c r="N70" s="112"/>
      <c r="O70" s="112"/>
      <c r="P70" s="112"/>
      <c r="Q70" s="113"/>
      <c r="R70" s="6"/>
      <c r="S70" s="101"/>
      <c r="T70" s="112"/>
      <c r="U70" s="112"/>
      <c r="V70" s="112"/>
      <c r="W70" s="113"/>
      <c r="X70" s="6"/>
      <c r="Y70" s="101"/>
      <c r="Z70" s="112"/>
      <c r="AA70" s="112"/>
      <c r="AB70" s="112"/>
      <c r="AC70" s="113"/>
      <c r="AD70" s="6"/>
      <c r="AE70" s="101"/>
      <c r="AF70" s="112"/>
      <c r="AG70" s="112"/>
      <c r="AH70" s="112"/>
      <c r="AI70" s="113"/>
      <c r="AJ70" s="6"/>
      <c r="AK70" s="101"/>
      <c r="AL70" s="112"/>
      <c r="AM70" s="112"/>
      <c r="AN70" s="112"/>
      <c r="AO70" s="113"/>
      <c r="AP70" s="130"/>
    </row>
    <row r="71" spans="1:42" x14ac:dyDescent="0.25">
      <c r="A71" s="101"/>
      <c r="B71" s="112"/>
      <c r="C71" s="112"/>
      <c r="D71" s="112"/>
      <c r="E71" s="113"/>
      <c r="F71" s="129"/>
      <c r="G71" s="101"/>
      <c r="H71" s="112"/>
      <c r="I71" s="112"/>
      <c r="J71" s="112"/>
      <c r="K71" s="113"/>
      <c r="L71" s="131"/>
      <c r="M71" s="101"/>
      <c r="N71" s="112"/>
      <c r="O71" s="112"/>
      <c r="P71" s="112"/>
      <c r="Q71" s="113"/>
      <c r="R71" s="6"/>
      <c r="S71" s="101"/>
      <c r="T71" s="112"/>
      <c r="U71" s="112"/>
      <c r="V71" s="112"/>
      <c r="W71" s="113"/>
      <c r="X71" s="6"/>
      <c r="Y71" s="101"/>
      <c r="Z71" s="112"/>
      <c r="AA71" s="112"/>
      <c r="AB71" s="112"/>
      <c r="AC71" s="113"/>
      <c r="AD71" s="6"/>
      <c r="AE71" s="101"/>
      <c r="AF71" s="112"/>
      <c r="AG71" s="112"/>
      <c r="AH71" s="112"/>
      <c r="AI71" s="113"/>
      <c r="AJ71" s="6"/>
      <c r="AK71" s="101"/>
      <c r="AL71" s="112"/>
      <c r="AM71" s="112"/>
      <c r="AN71" s="112"/>
      <c r="AO71" s="113"/>
      <c r="AP71" s="130"/>
    </row>
    <row r="72" spans="1:42" x14ac:dyDescent="0.25">
      <c r="A72" s="101"/>
      <c r="B72" s="112"/>
      <c r="C72" s="112"/>
      <c r="D72" s="112"/>
      <c r="E72" s="113"/>
      <c r="F72" s="129"/>
      <c r="G72" s="101"/>
      <c r="H72" s="112"/>
      <c r="I72" s="112"/>
      <c r="J72" s="112"/>
      <c r="K72" s="113"/>
      <c r="L72" s="131"/>
      <c r="M72" s="101"/>
      <c r="N72" s="112"/>
      <c r="O72" s="112"/>
      <c r="P72" s="112"/>
      <c r="Q72" s="113"/>
      <c r="R72" s="6"/>
      <c r="S72" s="101"/>
      <c r="T72" s="112"/>
      <c r="U72" s="112"/>
      <c r="V72" s="112"/>
      <c r="W72" s="113"/>
      <c r="X72" s="6"/>
      <c r="Y72" s="101"/>
      <c r="Z72" s="112"/>
      <c r="AA72" s="112"/>
      <c r="AB72" s="112"/>
      <c r="AC72" s="113"/>
      <c r="AD72" s="6"/>
      <c r="AE72" s="101"/>
      <c r="AF72" s="112"/>
      <c r="AG72" s="112"/>
      <c r="AH72" s="112"/>
      <c r="AI72" s="113"/>
      <c r="AJ72" s="6"/>
      <c r="AK72" s="101"/>
      <c r="AL72" s="112"/>
      <c r="AM72" s="112"/>
      <c r="AN72" s="112"/>
      <c r="AO72" s="113"/>
      <c r="AP72" s="130"/>
    </row>
    <row r="73" spans="1:42" x14ac:dyDescent="0.25">
      <c r="A73" s="101"/>
      <c r="B73" s="112"/>
      <c r="C73" s="112"/>
      <c r="D73" s="112"/>
      <c r="E73" s="113"/>
      <c r="F73" s="129"/>
      <c r="G73" s="101"/>
      <c r="H73" s="112"/>
      <c r="I73" s="112"/>
      <c r="J73" s="112"/>
      <c r="K73" s="113"/>
      <c r="L73" s="131"/>
      <c r="M73" s="101"/>
      <c r="N73" s="112"/>
      <c r="O73" s="112"/>
      <c r="P73" s="112"/>
      <c r="Q73" s="113"/>
      <c r="R73" s="6"/>
      <c r="S73" s="101"/>
      <c r="T73" s="112"/>
      <c r="U73" s="112"/>
      <c r="V73" s="112"/>
      <c r="W73" s="113"/>
      <c r="X73" s="6"/>
      <c r="Y73" s="101"/>
      <c r="Z73" s="112"/>
      <c r="AA73" s="112"/>
      <c r="AB73" s="112"/>
      <c r="AC73" s="113"/>
      <c r="AD73" s="6"/>
      <c r="AE73" s="101"/>
      <c r="AF73" s="112"/>
      <c r="AG73" s="112"/>
      <c r="AH73" s="112"/>
      <c r="AI73" s="113"/>
      <c r="AJ73" s="6"/>
      <c r="AK73" s="101"/>
      <c r="AL73" s="112"/>
      <c r="AM73" s="112"/>
      <c r="AN73" s="112"/>
      <c r="AO73" s="113"/>
      <c r="AP73" s="130"/>
    </row>
    <row r="74" spans="1:42" x14ac:dyDescent="0.25">
      <c r="A74" s="101"/>
      <c r="B74" s="112"/>
      <c r="C74" s="112"/>
      <c r="D74" s="112"/>
      <c r="E74" s="113"/>
      <c r="F74" s="129"/>
      <c r="G74" s="101"/>
      <c r="H74" s="112"/>
      <c r="I74" s="112"/>
      <c r="J74" s="112"/>
      <c r="K74" s="113"/>
      <c r="L74" s="131"/>
      <c r="M74" s="101"/>
      <c r="N74" s="112"/>
      <c r="O74" s="112"/>
      <c r="P74" s="112"/>
      <c r="Q74" s="113"/>
      <c r="R74" s="6"/>
      <c r="S74" s="101"/>
      <c r="T74" s="112"/>
      <c r="U74" s="112"/>
      <c r="V74" s="112"/>
      <c r="W74" s="113"/>
      <c r="X74" s="6"/>
      <c r="Y74" s="101"/>
      <c r="Z74" s="112"/>
      <c r="AA74" s="112"/>
      <c r="AB74" s="112"/>
      <c r="AC74" s="113"/>
      <c r="AD74" s="6"/>
      <c r="AE74" s="101"/>
      <c r="AF74" s="112"/>
      <c r="AG74" s="112"/>
      <c r="AH74" s="112"/>
      <c r="AI74" s="113"/>
      <c r="AJ74" s="6"/>
      <c r="AK74" s="101"/>
      <c r="AL74" s="112"/>
      <c r="AM74" s="112"/>
      <c r="AN74" s="112"/>
      <c r="AO74" s="113"/>
      <c r="AP74" s="130"/>
    </row>
    <row r="75" spans="1:42" x14ac:dyDescent="0.25">
      <c r="A75" s="101"/>
      <c r="B75" s="112"/>
      <c r="C75" s="112"/>
      <c r="D75" s="112"/>
      <c r="E75" s="113"/>
      <c r="F75" s="129"/>
      <c r="G75" s="101"/>
      <c r="H75" s="112"/>
      <c r="I75" s="112"/>
      <c r="J75" s="112"/>
      <c r="K75" s="113"/>
      <c r="L75" s="131"/>
      <c r="M75" s="101"/>
      <c r="N75" s="112"/>
      <c r="O75" s="112"/>
      <c r="P75" s="112"/>
      <c r="Q75" s="113"/>
      <c r="R75" s="6"/>
      <c r="S75" s="101"/>
      <c r="T75" s="112"/>
      <c r="U75" s="112"/>
      <c r="V75" s="112"/>
      <c r="W75" s="113"/>
      <c r="X75" s="6"/>
      <c r="Y75" s="101"/>
      <c r="Z75" s="112"/>
      <c r="AA75" s="112"/>
      <c r="AB75" s="112"/>
      <c r="AC75" s="113"/>
      <c r="AD75" s="6"/>
      <c r="AE75" s="101"/>
      <c r="AF75" s="112"/>
      <c r="AG75" s="112"/>
      <c r="AH75" s="112"/>
      <c r="AI75" s="113"/>
      <c r="AJ75" s="6"/>
      <c r="AK75" s="101"/>
      <c r="AL75" s="112"/>
      <c r="AM75" s="112"/>
      <c r="AN75" s="112"/>
      <c r="AO75" s="113"/>
      <c r="AP75" s="130"/>
    </row>
    <row r="76" spans="1:42" x14ac:dyDescent="0.25">
      <c r="A76" s="101"/>
      <c r="B76" s="112"/>
      <c r="C76" s="112"/>
      <c r="D76" s="112"/>
      <c r="E76" s="113"/>
      <c r="F76" s="129"/>
      <c r="G76" s="101"/>
      <c r="H76" s="112"/>
      <c r="I76" s="112"/>
      <c r="J76" s="112"/>
      <c r="K76" s="113"/>
      <c r="L76" s="131"/>
      <c r="M76" s="101"/>
      <c r="N76" s="112"/>
      <c r="O76" s="112"/>
      <c r="P76" s="112"/>
      <c r="Q76" s="113"/>
      <c r="R76" s="6"/>
      <c r="S76" s="101"/>
      <c r="T76" s="112"/>
      <c r="U76" s="112"/>
      <c r="V76" s="112"/>
      <c r="W76" s="113"/>
      <c r="X76" s="6"/>
      <c r="Y76" s="101"/>
      <c r="Z76" s="112"/>
      <c r="AA76" s="112"/>
      <c r="AB76" s="112"/>
      <c r="AC76" s="113"/>
      <c r="AD76" s="6"/>
      <c r="AE76" s="101"/>
      <c r="AF76" s="112"/>
      <c r="AG76" s="112"/>
      <c r="AH76" s="112"/>
      <c r="AI76" s="113"/>
      <c r="AJ76" s="6"/>
      <c r="AK76" s="101"/>
      <c r="AL76" s="112"/>
      <c r="AM76" s="112"/>
      <c r="AN76" s="112"/>
      <c r="AO76" s="113"/>
      <c r="AP76" s="130"/>
    </row>
    <row r="77" spans="1:42" x14ac:dyDescent="0.25">
      <c r="A77" s="101"/>
      <c r="B77" s="112"/>
      <c r="C77" s="112"/>
      <c r="D77" s="112"/>
      <c r="E77" s="113"/>
      <c r="F77" s="129"/>
      <c r="G77" s="101"/>
      <c r="H77" s="112"/>
      <c r="I77" s="112"/>
      <c r="J77" s="112"/>
      <c r="K77" s="113"/>
      <c r="L77" s="131"/>
      <c r="M77" s="101"/>
      <c r="N77" s="112"/>
      <c r="O77" s="112"/>
      <c r="P77" s="112"/>
      <c r="Q77" s="113"/>
      <c r="R77" s="6"/>
      <c r="S77" s="101"/>
      <c r="T77" s="112"/>
      <c r="U77" s="112"/>
      <c r="V77" s="112"/>
      <c r="W77" s="113"/>
      <c r="X77" s="6"/>
      <c r="Y77" s="101"/>
      <c r="Z77" s="112"/>
      <c r="AA77" s="112"/>
      <c r="AB77" s="112"/>
      <c r="AC77" s="113"/>
      <c r="AD77" s="6"/>
      <c r="AE77" s="101"/>
      <c r="AF77" s="112"/>
      <c r="AG77" s="112"/>
      <c r="AH77" s="112"/>
      <c r="AI77" s="113"/>
      <c r="AJ77" s="6"/>
      <c r="AK77" s="101"/>
      <c r="AL77" s="112"/>
      <c r="AM77" s="112"/>
      <c r="AN77" s="112"/>
      <c r="AO77" s="113"/>
      <c r="AP77" s="130"/>
    </row>
    <row r="78" spans="1:42" x14ac:dyDescent="0.25">
      <c r="A78" s="101"/>
      <c r="B78" s="112"/>
      <c r="C78" s="112"/>
      <c r="D78" s="112"/>
      <c r="E78" s="113"/>
      <c r="F78" s="129"/>
      <c r="G78" s="101"/>
      <c r="H78" s="112"/>
      <c r="I78" s="112"/>
      <c r="J78" s="112"/>
      <c r="K78" s="113"/>
      <c r="L78" s="131"/>
      <c r="M78" s="101"/>
      <c r="N78" s="112"/>
      <c r="O78" s="112"/>
      <c r="P78" s="112"/>
      <c r="Q78" s="113"/>
      <c r="R78" s="6"/>
      <c r="S78" s="101"/>
      <c r="T78" s="112"/>
      <c r="U78" s="112"/>
      <c r="V78" s="112"/>
      <c r="W78" s="113"/>
      <c r="X78" s="6"/>
      <c r="Y78" s="101"/>
      <c r="Z78" s="112"/>
      <c r="AA78" s="112"/>
      <c r="AB78" s="112"/>
      <c r="AC78" s="113"/>
      <c r="AD78" s="6"/>
      <c r="AE78" s="101"/>
      <c r="AF78" s="112"/>
      <c r="AG78" s="112"/>
      <c r="AH78" s="112"/>
      <c r="AI78" s="113"/>
      <c r="AJ78" s="6"/>
      <c r="AK78" s="101"/>
      <c r="AL78" s="112"/>
      <c r="AM78" s="112"/>
      <c r="AN78" s="112"/>
      <c r="AO78" s="113"/>
      <c r="AP78" s="130"/>
    </row>
    <row r="79" spans="1:42" x14ac:dyDescent="0.25">
      <c r="A79" s="101"/>
      <c r="B79" s="112"/>
      <c r="C79" s="112"/>
      <c r="D79" s="112"/>
      <c r="E79" s="113"/>
      <c r="F79" s="129"/>
      <c r="G79" s="101"/>
      <c r="H79" s="112"/>
      <c r="I79" s="112"/>
      <c r="J79" s="112"/>
      <c r="K79" s="113"/>
      <c r="L79" s="131"/>
      <c r="M79" s="101"/>
      <c r="N79" s="112"/>
      <c r="O79" s="112"/>
      <c r="P79" s="112"/>
      <c r="Q79" s="113"/>
      <c r="R79" s="6"/>
      <c r="S79" s="101"/>
      <c r="T79" s="112"/>
      <c r="U79" s="112"/>
      <c r="V79" s="112"/>
      <c r="W79" s="113"/>
      <c r="X79" s="6"/>
      <c r="Y79" s="101"/>
      <c r="Z79" s="112"/>
      <c r="AA79" s="112"/>
      <c r="AB79" s="112"/>
      <c r="AC79" s="113"/>
      <c r="AD79" s="6"/>
      <c r="AE79" s="101"/>
      <c r="AF79" s="112"/>
      <c r="AG79" s="112"/>
      <c r="AH79" s="112"/>
      <c r="AI79" s="113"/>
      <c r="AJ79" s="6"/>
      <c r="AK79" s="101"/>
      <c r="AL79" s="112"/>
      <c r="AM79" s="112"/>
      <c r="AN79" s="112"/>
      <c r="AO79" s="113"/>
      <c r="AP79" s="130"/>
    </row>
    <row r="80" spans="1:42" x14ac:dyDescent="0.25">
      <c r="A80" s="101"/>
      <c r="B80" s="112"/>
      <c r="C80" s="112"/>
      <c r="D80" s="112"/>
      <c r="E80" s="113"/>
      <c r="F80" s="129"/>
      <c r="G80" s="101"/>
      <c r="H80" s="112"/>
      <c r="I80" s="112"/>
      <c r="J80" s="112"/>
      <c r="K80" s="113"/>
      <c r="L80" s="131"/>
      <c r="M80" s="101"/>
      <c r="N80" s="112"/>
      <c r="O80" s="112"/>
      <c r="P80" s="112"/>
      <c r="Q80" s="113"/>
      <c r="R80" s="6"/>
      <c r="S80" s="101"/>
      <c r="T80" s="112"/>
      <c r="U80" s="112"/>
      <c r="V80" s="112"/>
      <c r="W80" s="113"/>
      <c r="X80" s="6"/>
      <c r="Y80" s="101"/>
      <c r="Z80" s="112"/>
      <c r="AA80" s="112"/>
      <c r="AB80" s="112"/>
      <c r="AC80" s="113"/>
      <c r="AD80" s="6"/>
      <c r="AE80" s="101"/>
      <c r="AF80" s="112"/>
      <c r="AG80" s="112"/>
      <c r="AH80" s="112"/>
      <c r="AI80" s="113"/>
      <c r="AJ80" s="6"/>
      <c r="AK80" s="101"/>
      <c r="AL80" s="112"/>
      <c r="AM80" s="112"/>
      <c r="AN80" s="112"/>
      <c r="AO80" s="113"/>
      <c r="AP80" s="130"/>
    </row>
    <row r="81" spans="1:42" x14ac:dyDescent="0.25">
      <c r="A81" s="101"/>
      <c r="B81" s="112"/>
      <c r="C81" s="112"/>
      <c r="D81" s="112"/>
      <c r="E81" s="113"/>
      <c r="F81" s="129"/>
      <c r="G81" s="101"/>
      <c r="H81" s="112"/>
      <c r="I81" s="112"/>
      <c r="J81" s="112"/>
      <c r="K81" s="113"/>
      <c r="L81" s="131"/>
      <c r="M81" s="101"/>
      <c r="N81" s="112"/>
      <c r="O81" s="112"/>
      <c r="P81" s="112"/>
      <c r="Q81" s="113"/>
      <c r="R81" s="6"/>
      <c r="S81" s="101"/>
      <c r="T81" s="112"/>
      <c r="U81" s="112"/>
      <c r="V81" s="112"/>
      <c r="W81" s="113"/>
      <c r="X81" s="6"/>
      <c r="Y81" s="101"/>
      <c r="Z81" s="112"/>
      <c r="AA81" s="112"/>
      <c r="AB81" s="112"/>
      <c r="AC81" s="113"/>
      <c r="AD81" s="6"/>
      <c r="AE81" s="101"/>
      <c r="AF81" s="112"/>
      <c r="AG81" s="112"/>
      <c r="AH81" s="112"/>
      <c r="AI81" s="113"/>
      <c r="AJ81" s="6"/>
      <c r="AK81" s="101"/>
      <c r="AL81" s="112"/>
      <c r="AM81" s="112"/>
      <c r="AN81" s="112"/>
      <c r="AO81" s="113"/>
      <c r="AP81" s="130"/>
    </row>
    <row r="82" spans="1:42" x14ac:dyDescent="0.25">
      <c r="A82" s="101"/>
      <c r="B82" s="112"/>
      <c r="C82" s="112"/>
      <c r="D82" s="112"/>
      <c r="E82" s="113"/>
      <c r="F82" s="129"/>
      <c r="G82" s="101"/>
      <c r="H82" s="112"/>
      <c r="I82" s="112"/>
      <c r="J82" s="112"/>
      <c r="K82" s="113"/>
      <c r="L82" s="131"/>
      <c r="M82" s="101"/>
      <c r="N82" s="112"/>
      <c r="O82" s="112"/>
      <c r="P82" s="112"/>
      <c r="Q82" s="113"/>
      <c r="R82" s="6"/>
      <c r="S82" s="101"/>
      <c r="T82" s="112"/>
      <c r="U82" s="112"/>
      <c r="V82" s="112"/>
      <c r="W82" s="113"/>
      <c r="X82" s="6"/>
      <c r="Y82" s="101"/>
      <c r="Z82" s="112"/>
      <c r="AA82" s="112"/>
      <c r="AB82" s="112"/>
      <c r="AC82" s="113"/>
      <c r="AD82" s="6"/>
      <c r="AE82" s="101"/>
      <c r="AF82" s="112"/>
      <c r="AG82" s="112"/>
      <c r="AH82" s="112"/>
      <c r="AI82" s="113"/>
      <c r="AJ82" s="6"/>
      <c r="AK82" s="101"/>
      <c r="AL82" s="112"/>
      <c r="AM82" s="112"/>
      <c r="AN82" s="112"/>
      <c r="AO82" s="113"/>
      <c r="AP82" s="130"/>
    </row>
    <row r="83" spans="1:42" x14ac:dyDescent="0.25">
      <c r="A83" s="101"/>
      <c r="B83" s="112"/>
      <c r="C83" s="112"/>
      <c r="D83" s="112"/>
      <c r="E83" s="113"/>
      <c r="F83" s="129"/>
      <c r="G83" s="101"/>
      <c r="H83" s="112"/>
      <c r="I83" s="112"/>
      <c r="J83" s="112"/>
      <c r="K83" s="113"/>
      <c r="L83" s="131"/>
      <c r="M83" s="101"/>
      <c r="N83" s="112"/>
      <c r="O83" s="112"/>
      <c r="P83" s="112"/>
      <c r="Q83" s="113"/>
      <c r="R83" s="6"/>
      <c r="S83" s="101"/>
      <c r="T83" s="112"/>
      <c r="U83" s="112"/>
      <c r="V83" s="112"/>
      <c r="W83" s="113"/>
      <c r="X83" s="6"/>
      <c r="Y83" s="101"/>
      <c r="Z83" s="112"/>
      <c r="AA83" s="112"/>
      <c r="AB83" s="112"/>
      <c r="AC83" s="113"/>
      <c r="AD83" s="6"/>
      <c r="AE83" s="101"/>
      <c r="AF83" s="112"/>
      <c r="AG83" s="112"/>
      <c r="AH83" s="112"/>
      <c r="AI83" s="113"/>
      <c r="AJ83" s="6"/>
      <c r="AK83" s="101"/>
      <c r="AL83" s="112"/>
      <c r="AM83" s="112"/>
      <c r="AN83" s="112"/>
      <c r="AO83" s="113"/>
      <c r="AP83" s="130"/>
    </row>
    <row r="84" spans="1:42" x14ac:dyDescent="0.25">
      <c r="A84" s="101"/>
      <c r="B84" s="112"/>
      <c r="C84" s="112"/>
      <c r="D84" s="112"/>
      <c r="E84" s="113"/>
      <c r="F84" s="129"/>
      <c r="G84" s="101"/>
      <c r="H84" s="112"/>
      <c r="I84" s="112"/>
      <c r="J84" s="112"/>
      <c r="K84" s="113"/>
      <c r="L84" s="131"/>
      <c r="M84" s="101"/>
      <c r="N84" s="112"/>
      <c r="O84" s="112"/>
      <c r="P84" s="112"/>
      <c r="Q84" s="113"/>
      <c r="R84" s="6"/>
      <c r="S84" s="101"/>
      <c r="T84" s="112"/>
      <c r="U84" s="112"/>
      <c r="V84" s="112"/>
      <c r="W84" s="113"/>
      <c r="X84" s="6"/>
      <c r="Y84" s="101"/>
      <c r="Z84" s="112"/>
      <c r="AA84" s="112"/>
      <c r="AB84" s="112"/>
      <c r="AC84" s="113"/>
      <c r="AD84" s="6"/>
      <c r="AE84" s="101"/>
      <c r="AF84" s="112"/>
      <c r="AG84" s="112"/>
      <c r="AH84" s="112"/>
      <c r="AI84" s="113"/>
      <c r="AJ84" s="6"/>
      <c r="AK84" s="101"/>
      <c r="AL84" s="112"/>
      <c r="AM84" s="112"/>
      <c r="AN84" s="112"/>
      <c r="AO84" s="113"/>
      <c r="AP84" s="130"/>
    </row>
    <row r="85" spans="1:42" x14ac:dyDescent="0.25">
      <c r="A85" s="101"/>
      <c r="B85" s="112"/>
      <c r="C85" s="112"/>
      <c r="D85" s="112"/>
      <c r="E85" s="113"/>
      <c r="F85" s="129"/>
      <c r="G85" s="101"/>
      <c r="H85" s="112"/>
      <c r="I85" s="112"/>
      <c r="J85" s="112"/>
      <c r="K85" s="113"/>
      <c r="L85" s="131"/>
      <c r="M85" s="101"/>
      <c r="N85" s="112"/>
      <c r="O85" s="112"/>
      <c r="P85" s="112"/>
      <c r="Q85" s="113"/>
      <c r="R85" s="6"/>
      <c r="S85" s="101"/>
      <c r="T85" s="112"/>
      <c r="U85" s="112"/>
      <c r="V85" s="112"/>
      <c r="W85" s="113"/>
      <c r="X85" s="6"/>
      <c r="Y85" s="101"/>
      <c r="Z85" s="112"/>
      <c r="AA85" s="112"/>
      <c r="AB85" s="112"/>
      <c r="AC85" s="113"/>
      <c r="AD85" s="6"/>
      <c r="AE85" s="101"/>
      <c r="AF85" s="112"/>
      <c r="AG85" s="112"/>
      <c r="AH85" s="112"/>
      <c r="AI85" s="113"/>
      <c r="AJ85" s="6"/>
      <c r="AK85" s="101"/>
      <c r="AL85" s="112"/>
      <c r="AM85" s="112"/>
      <c r="AN85" s="112"/>
      <c r="AO85" s="113"/>
      <c r="AP85" s="130"/>
    </row>
    <row r="86" spans="1:42" x14ac:dyDescent="0.25">
      <c r="A86" s="101"/>
      <c r="B86" s="112"/>
      <c r="C86" s="112"/>
      <c r="D86" s="112"/>
      <c r="E86" s="113"/>
      <c r="F86" s="129"/>
      <c r="G86" s="101"/>
      <c r="H86" s="112"/>
      <c r="I86" s="112"/>
      <c r="J86" s="112"/>
      <c r="K86" s="113"/>
      <c r="L86" s="131"/>
      <c r="M86" s="101"/>
      <c r="N86" s="112"/>
      <c r="O86" s="112"/>
      <c r="P86" s="112"/>
      <c r="Q86" s="113"/>
      <c r="R86" s="6"/>
      <c r="S86" s="101"/>
      <c r="T86" s="112"/>
      <c r="U86" s="112"/>
      <c r="V86" s="112"/>
      <c r="W86" s="113"/>
      <c r="X86" s="6"/>
      <c r="Y86" s="101"/>
      <c r="Z86" s="112"/>
      <c r="AA86" s="112"/>
      <c r="AB86" s="112"/>
      <c r="AC86" s="113"/>
      <c r="AD86" s="6"/>
      <c r="AE86" s="101"/>
      <c r="AF86" s="112"/>
      <c r="AG86" s="112"/>
      <c r="AH86" s="112"/>
      <c r="AI86" s="113"/>
      <c r="AJ86" s="6"/>
      <c r="AK86" s="101"/>
      <c r="AL86" s="112"/>
      <c r="AM86" s="112"/>
      <c r="AN86" s="112"/>
      <c r="AO86" s="113"/>
      <c r="AP86" s="130"/>
    </row>
    <row r="87" spans="1:42" x14ac:dyDescent="0.25">
      <c r="A87" s="101"/>
      <c r="B87" s="112"/>
      <c r="C87" s="112"/>
      <c r="D87" s="112"/>
      <c r="E87" s="113"/>
      <c r="F87" s="129"/>
      <c r="G87" s="101"/>
      <c r="H87" s="112"/>
      <c r="I87" s="112"/>
      <c r="J87" s="112"/>
      <c r="K87" s="113"/>
      <c r="L87" s="131"/>
      <c r="M87" s="101"/>
      <c r="N87" s="112"/>
      <c r="O87" s="112"/>
      <c r="P87" s="112"/>
      <c r="Q87" s="113"/>
      <c r="R87" s="6"/>
      <c r="S87" s="101"/>
      <c r="T87" s="112"/>
      <c r="U87" s="112"/>
      <c r="V87" s="112"/>
      <c r="W87" s="113"/>
      <c r="X87" s="6"/>
      <c r="Y87" s="101"/>
      <c r="Z87" s="112"/>
      <c r="AA87" s="112"/>
      <c r="AB87" s="112"/>
      <c r="AC87" s="113"/>
      <c r="AD87" s="6"/>
      <c r="AE87" s="101"/>
      <c r="AF87" s="112"/>
      <c r="AG87" s="112"/>
      <c r="AH87" s="112"/>
      <c r="AI87" s="113"/>
      <c r="AJ87" s="6"/>
      <c r="AK87" s="101"/>
      <c r="AL87" s="112"/>
      <c r="AM87" s="112"/>
      <c r="AN87" s="112"/>
      <c r="AO87" s="113"/>
      <c r="AP87" s="130"/>
    </row>
    <row r="88" spans="1:42" x14ac:dyDescent="0.25">
      <c r="A88" s="101"/>
      <c r="B88" s="112"/>
      <c r="C88" s="112"/>
      <c r="D88" s="112"/>
      <c r="E88" s="113"/>
      <c r="F88" s="129"/>
      <c r="G88" s="101"/>
      <c r="H88" s="112"/>
      <c r="I88" s="112"/>
      <c r="J88" s="112"/>
      <c r="K88" s="113"/>
      <c r="L88" s="131"/>
      <c r="M88" s="101"/>
      <c r="N88" s="112"/>
      <c r="O88" s="112"/>
      <c r="P88" s="112"/>
      <c r="Q88" s="113"/>
      <c r="R88" s="6"/>
      <c r="S88" s="101"/>
      <c r="T88" s="112"/>
      <c r="U88" s="112"/>
      <c r="V88" s="112"/>
      <c r="W88" s="113"/>
      <c r="X88" s="6"/>
      <c r="Y88" s="101"/>
      <c r="Z88" s="112"/>
      <c r="AA88" s="112"/>
      <c r="AB88" s="112"/>
      <c r="AC88" s="113"/>
      <c r="AD88" s="6"/>
      <c r="AE88" s="101"/>
      <c r="AF88" s="112"/>
      <c r="AG88" s="112"/>
      <c r="AH88" s="112"/>
      <c r="AI88" s="113"/>
      <c r="AJ88" s="6"/>
      <c r="AK88" s="101"/>
      <c r="AL88" s="112"/>
      <c r="AM88" s="112"/>
      <c r="AN88" s="112"/>
      <c r="AO88" s="113"/>
      <c r="AP88" s="130"/>
    </row>
    <row r="89" spans="1:42" x14ac:dyDescent="0.25">
      <c r="A89" s="101"/>
      <c r="B89" s="112"/>
      <c r="C89" s="112"/>
      <c r="D89" s="112"/>
      <c r="E89" s="113"/>
      <c r="F89" s="129"/>
      <c r="G89" s="101"/>
      <c r="H89" s="112"/>
      <c r="I89" s="112"/>
      <c r="J89" s="112"/>
      <c r="K89" s="113"/>
      <c r="L89" s="131"/>
      <c r="M89" s="101"/>
      <c r="N89" s="112"/>
      <c r="O89" s="112"/>
      <c r="P89" s="112"/>
      <c r="Q89" s="113"/>
      <c r="R89" s="6"/>
      <c r="S89" s="101"/>
      <c r="T89" s="112"/>
      <c r="U89" s="112"/>
      <c r="V89" s="112"/>
      <c r="W89" s="113"/>
      <c r="X89" s="6"/>
      <c r="Y89" s="101"/>
      <c r="Z89" s="112"/>
      <c r="AA89" s="112"/>
      <c r="AB89" s="112"/>
      <c r="AC89" s="113"/>
      <c r="AD89" s="6"/>
      <c r="AE89" s="101"/>
      <c r="AF89" s="112"/>
      <c r="AG89" s="112"/>
      <c r="AH89" s="112"/>
      <c r="AI89" s="113"/>
      <c r="AJ89" s="6"/>
      <c r="AK89" s="101"/>
      <c r="AL89" s="112"/>
      <c r="AM89" s="112"/>
      <c r="AN89" s="112"/>
      <c r="AO89" s="113"/>
      <c r="AP89" s="130"/>
    </row>
    <row r="90" spans="1:42" x14ac:dyDescent="0.25">
      <c r="A90" s="101"/>
      <c r="B90" s="112"/>
      <c r="C90" s="112"/>
      <c r="D90" s="112"/>
      <c r="E90" s="113"/>
      <c r="F90" s="129"/>
      <c r="G90" s="101"/>
      <c r="H90" s="112"/>
      <c r="I90" s="112"/>
      <c r="J90" s="112"/>
      <c r="K90" s="113"/>
      <c r="L90" s="131"/>
      <c r="M90" s="101"/>
      <c r="N90" s="112"/>
      <c r="O90" s="112"/>
      <c r="P90" s="112"/>
      <c r="Q90" s="113"/>
      <c r="R90" s="6"/>
      <c r="S90" s="101"/>
      <c r="T90" s="112"/>
      <c r="U90" s="112"/>
      <c r="V90" s="112"/>
      <c r="W90" s="113"/>
      <c r="X90" s="6"/>
      <c r="Y90" s="101"/>
      <c r="Z90" s="112"/>
      <c r="AA90" s="112"/>
      <c r="AB90" s="112"/>
      <c r="AC90" s="113"/>
      <c r="AD90" s="6"/>
      <c r="AE90" s="101"/>
      <c r="AF90" s="112"/>
      <c r="AG90" s="112"/>
      <c r="AH90" s="112"/>
      <c r="AI90" s="113"/>
      <c r="AJ90" s="6"/>
      <c r="AK90" s="101"/>
      <c r="AL90" s="112"/>
      <c r="AM90" s="112"/>
      <c r="AN90" s="112"/>
      <c r="AO90" s="113"/>
      <c r="AP90" s="130"/>
    </row>
    <row r="91" spans="1:42" x14ac:dyDescent="0.25">
      <c r="A91" s="101"/>
      <c r="B91" s="112"/>
      <c r="C91" s="112"/>
      <c r="D91" s="112"/>
      <c r="E91" s="113"/>
      <c r="F91" s="129"/>
      <c r="G91" s="101"/>
      <c r="H91" s="112"/>
      <c r="I91" s="112"/>
      <c r="J91" s="112"/>
      <c r="K91" s="113"/>
      <c r="L91" s="131"/>
      <c r="M91" s="101"/>
      <c r="N91" s="112"/>
      <c r="O91" s="112"/>
      <c r="P91" s="112"/>
      <c r="Q91" s="113"/>
      <c r="R91" s="6"/>
      <c r="S91" s="101"/>
      <c r="T91" s="112"/>
      <c r="U91" s="112"/>
      <c r="V91" s="112"/>
      <c r="W91" s="113"/>
      <c r="X91" s="6"/>
      <c r="Y91" s="101"/>
      <c r="Z91" s="112"/>
      <c r="AA91" s="112"/>
      <c r="AB91" s="112"/>
      <c r="AC91" s="113"/>
      <c r="AD91" s="6"/>
      <c r="AE91" s="101"/>
      <c r="AF91" s="112"/>
      <c r="AG91" s="112"/>
      <c r="AH91" s="112"/>
      <c r="AI91" s="113"/>
      <c r="AJ91" s="6"/>
      <c r="AK91" s="101"/>
      <c r="AL91" s="112"/>
      <c r="AM91" s="112"/>
      <c r="AN91" s="112"/>
      <c r="AO91" s="113"/>
      <c r="AP91" s="130"/>
    </row>
    <row r="92" spans="1:42" x14ac:dyDescent="0.25">
      <c r="A92" s="101"/>
      <c r="B92" s="112"/>
      <c r="C92" s="112"/>
      <c r="D92" s="112"/>
      <c r="E92" s="113"/>
      <c r="F92" s="129"/>
      <c r="G92" s="101"/>
      <c r="H92" s="112"/>
      <c r="I92" s="112"/>
      <c r="J92" s="112"/>
      <c r="K92" s="113"/>
      <c r="L92" s="131"/>
      <c r="M92" s="101"/>
      <c r="N92" s="112"/>
      <c r="O92" s="112"/>
      <c r="P92" s="112"/>
      <c r="Q92" s="113"/>
      <c r="R92" s="6"/>
      <c r="S92" s="101"/>
      <c r="T92" s="112"/>
      <c r="U92" s="112"/>
      <c r="V92" s="112"/>
      <c r="W92" s="113"/>
      <c r="X92" s="6"/>
      <c r="Y92" s="101"/>
      <c r="Z92" s="112"/>
      <c r="AA92" s="112"/>
      <c r="AB92" s="112"/>
      <c r="AC92" s="113"/>
      <c r="AD92" s="6"/>
      <c r="AE92" s="101"/>
      <c r="AF92" s="112"/>
      <c r="AG92" s="112"/>
      <c r="AH92" s="112"/>
      <c r="AI92" s="113"/>
      <c r="AJ92" s="6"/>
      <c r="AK92" s="101"/>
      <c r="AL92" s="112"/>
      <c r="AM92" s="112"/>
      <c r="AN92" s="112"/>
      <c r="AO92" s="113"/>
      <c r="AP92" s="130"/>
    </row>
    <row r="93" spans="1:42" x14ac:dyDescent="0.25">
      <c r="A93" s="101"/>
      <c r="B93" s="112"/>
      <c r="C93" s="112"/>
      <c r="D93" s="112"/>
      <c r="E93" s="113"/>
      <c r="F93" s="129"/>
      <c r="G93" s="101"/>
      <c r="H93" s="112"/>
      <c r="I93" s="112"/>
      <c r="J93" s="112"/>
      <c r="K93" s="113"/>
      <c r="L93" s="131"/>
      <c r="M93" s="101"/>
      <c r="N93" s="112"/>
      <c r="O93" s="112"/>
      <c r="P93" s="112"/>
      <c r="Q93" s="113"/>
      <c r="R93" s="6"/>
      <c r="S93" s="101"/>
      <c r="T93" s="112"/>
      <c r="U93" s="112"/>
      <c r="V93" s="112"/>
      <c r="W93" s="113"/>
      <c r="X93" s="6"/>
      <c r="Y93" s="101"/>
      <c r="Z93" s="112"/>
      <c r="AA93" s="112"/>
      <c r="AB93" s="112"/>
      <c r="AC93" s="113"/>
      <c r="AD93" s="6"/>
      <c r="AE93" s="101"/>
      <c r="AF93" s="112"/>
      <c r="AG93" s="112"/>
      <c r="AH93" s="112"/>
      <c r="AI93" s="113"/>
      <c r="AJ93" s="6"/>
      <c r="AK93" s="101"/>
      <c r="AL93" s="112"/>
      <c r="AM93" s="112"/>
      <c r="AN93" s="112"/>
      <c r="AO93" s="113"/>
      <c r="AP93" s="130"/>
    </row>
    <row r="94" spans="1:42" x14ac:dyDescent="0.25">
      <c r="A94" s="101"/>
      <c r="B94" s="112"/>
      <c r="C94" s="112"/>
      <c r="D94" s="112"/>
      <c r="E94" s="113"/>
      <c r="F94" s="129"/>
      <c r="G94" s="101"/>
      <c r="H94" s="112"/>
      <c r="I94" s="112"/>
      <c r="J94" s="112"/>
      <c r="K94" s="113"/>
      <c r="L94" s="131"/>
      <c r="M94" s="101"/>
      <c r="N94" s="112"/>
      <c r="O94" s="112"/>
      <c r="P94" s="112"/>
      <c r="Q94" s="113"/>
      <c r="R94" s="6"/>
      <c r="S94" s="101"/>
      <c r="T94" s="112"/>
      <c r="U94" s="112"/>
      <c r="V94" s="112"/>
      <c r="W94" s="113"/>
      <c r="X94" s="6"/>
      <c r="Y94" s="101"/>
      <c r="Z94" s="112"/>
      <c r="AA94" s="112"/>
      <c r="AB94" s="112"/>
      <c r="AC94" s="113"/>
      <c r="AD94" s="6"/>
      <c r="AE94" s="101"/>
      <c r="AF94" s="112"/>
      <c r="AG94" s="112"/>
      <c r="AH94" s="112"/>
      <c r="AI94" s="113"/>
      <c r="AJ94" s="6"/>
      <c r="AK94" s="101"/>
      <c r="AL94" s="112"/>
      <c r="AM94" s="112"/>
      <c r="AN94" s="112"/>
      <c r="AO94" s="113"/>
      <c r="AP94" s="130"/>
    </row>
    <row r="95" spans="1:42" x14ac:dyDescent="0.25">
      <c r="A95" s="101"/>
      <c r="B95" s="112"/>
      <c r="C95" s="112"/>
      <c r="D95" s="112"/>
      <c r="E95" s="113"/>
      <c r="F95" s="129"/>
      <c r="G95" s="101"/>
      <c r="H95" s="112"/>
      <c r="I95" s="112"/>
      <c r="J95" s="112"/>
      <c r="K95" s="113"/>
      <c r="L95" s="131"/>
      <c r="M95" s="101"/>
      <c r="N95" s="112"/>
      <c r="O95" s="112"/>
      <c r="P95" s="112"/>
      <c r="Q95" s="113"/>
      <c r="R95" s="6"/>
      <c r="S95" s="101"/>
      <c r="T95" s="112"/>
      <c r="U95" s="112"/>
      <c r="V95" s="112"/>
      <c r="W95" s="113"/>
      <c r="X95" s="6"/>
      <c r="Y95" s="101"/>
      <c r="Z95" s="112"/>
      <c r="AA95" s="112"/>
      <c r="AB95" s="112"/>
      <c r="AC95" s="113"/>
      <c r="AD95" s="6"/>
      <c r="AE95" s="101"/>
      <c r="AF95" s="112"/>
      <c r="AG95" s="112"/>
      <c r="AH95" s="112"/>
      <c r="AI95" s="113"/>
      <c r="AJ95" s="6"/>
      <c r="AK95" s="101"/>
      <c r="AL95" s="112"/>
      <c r="AM95" s="112"/>
      <c r="AN95" s="112"/>
      <c r="AO95" s="113"/>
      <c r="AP95" s="130"/>
    </row>
    <row r="96" spans="1:42" x14ac:dyDescent="0.25">
      <c r="A96" s="101"/>
      <c r="B96" s="112"/>
      <c r="C96" s="112"/>
      <c r="D96" s="112"/>
      <c r="E96" s="113"/>
      <c r="F96" s="129"/>
      <c r="G96" s="101"/>
      <c r="H96" s="112"/>
      <c r="I96" s="112"/>
      <c r="J96" s="112"/>
      <c r="K96" s="113"/>
      <c r="L96" s="131"/>
      <c r="M96" s="101"/>
      <c r="N96" s="112"/>
      <c r="O96" s="112"/>
      <c r="P96" s="112"/>
      <c r="Q96" s="113"/>
      <c r="R96" s="6"/>
      <c r="S96" s="101"/>
      <c r="T96" s="112"/>
      <c r="U96" s="112"/>
      <c r="V96" s="112"/>
      <c r="W96" s="113"/>
      <c r="X96" s="6"/>
      <c r="Y96" s="101"/>
      <c r="Z96" s="112"/>
      <c r="AA96" s="112"/>
      <c r="AB96" s="112"/>
      <c r="AC96" s="113"/>
      <c r="AD96" s="6"/>
      <c r="AE96" s="101"/>
      <c r="AF96" s="112"/>
      <c r="AG96" s="112"/>
      <c r="AH96" s="112"/>
      <c r="AI96" s="113"/>
      <c r="AJ96" s="6"/>
      <c r="AK96" s="101"/>
      <c r="AL96" s="112"/>
      <c r="AM96" s="112"/>
      <c r="AN96" s="112"/>
      <c r="AO96" s="113"/>
      <c r="AP96" s="130"/>
    </row>
    <row r="97" spans="1:42" x14ac:dyDescent="0.25">
      <c r="A97" s="101"/>
      <c r="B97" s="112"/>
      <c r="C97" s="112"/>
      <c r="D97" s="112"/>
      <c r="E97" s="113"/>
      <c r="F97" s="129"/>
      <c r="G97" s="101"/>
      <c r="H97" s="112"/>
      <c r="I97" s="112"/>
      <c r="J97" s="112"/>
      <c r="K97" s="113"/>
      <c r="L97" s="131"/>
      <c r="M97" s="101"/>
      <c r="N97" s="112"/>
      <c r="O97" s="112"/>
      <c r="P97" s="112"/>
      <c r="Q97" s="113"/>
      <c r="R97" s="6"/>
      <c r="S97" s="101"/>
      <c r="T97" s="112"/>
      <c r="U97" s="112"/>
      <c r="V97" s="112"/>
      <c r="W97" s="113"/>
      <c r="X97" s="6"/>
      <c r="Y97" s="101"/>
      <c r="Z97" s="112"/>
      <c r="AA97" s="112"/>
      <c r="AB97" s="112"/>
      <c r="AC97" s="113"/>
      <c r="AD97" s="6"/>
      <c r="AE97" s="101"/>
      <c r="AF97" s="112"/>
      <c r="AG97" s="112"/>
      <c r="AH97" s="112"/>
      <c r="AI97" s="113"/>
      <c r="AJ97" s="6"/>
      <c r="AK97" s="101"/>
      <c r="AL97" s="112"/>
      <c r="AM97" s="112"/>
      <c r="AN97" s="112"/>
      <c r="AO97" s="113"/>
      <c r="AP97" s="130"/>
    </row>
    <row r="98" spans="1:42" x14ac:dyDescent="0.25">
      <c r="A98" s="101"/>
      <c r="B98" s="112"/>
      <c r="C98" s="112"/>
      <c r="D98" s="112"/>
      <c r="E98" s="113"/>
      <c r="F98" s="129"/>
      <c r="G98" s="101"/>
      <c r="H98" s="112"/>
      <c r="I98" s="112"/>
      <c r="J98" s="112"/>
      <c r="K98" s="113"/>
      <c r="L98" s="131"/>
      <c r="M98" s="101"/>
      <c r="N98" s="112"/>
      <c r="O98" s="112"/>
      <c r="P98" s="112"/>
      <c r="Q98" s="113"/>
      <c r="R98" s="6"/>
      <c r="S98" s="101"/>
      <c r="T98" s="112"/>
      <c r="U98" s="112"/>
      <c r="V98" s="112"/>
      <c r="W98" s="113"/>
      <c r="X98" s="6"/>
      <c r="Y98" s="101"/>
      <c r="Z98" s="112"/>
      <c r="AA98" s="112"/>
      <c r="AB98" s="112"/>
      <c r="AC98" s="113"/>
      <c r="AD98" s="6"/>
      <c r="AE98" s="101"/>
      <c r="AF98" s="112"/>
      <c r="AG98" s="112"/>
      <c r="AH98" s="112"/>
      <c r="AI98" s="113"/>
      <c r="AJ98" s="6"/>
      <c r="AK98" s="101"/>
      <c r="AL98" s="112"/>
      <c r="AM98" s="112"/>
      <c r="AN98" s="112"/>
      <c r="AO98" s="113"/>
      <c r="AP98" s="130"/>
    </row>
    <row r="99" spans="1:42" x14ac:dyDescent="0.25">
      <c r="A99" s="101"/>
      <c r="B99" s="112"/>
      <c r="C99" s="112"/>
      <c r="D99" s="112"/>
      <c r="E99" s="113"/>
      <c r="F99" s="129"/>
      <c r="G99" s="101"/>
      <c r="H99" s="112"/>
      <c r="I99" s="112"/>
      <c r="J99" s="112"/>
      <c r="K99" s="113"/>
      <c r="L99" s="131"/>
      <c r="M99" s="101"/>
      <c r="N99" s="112"/>
      <c r="O99" s="112"/>
      <c r="P99" s="112"/>
      <c r="Q99" s="113"/>
      <c r="R99" s="6"/>
      <c r="S99" s="101"/>
      <c r="T99" s="112"/>
      <c r="U99" s="112"/>
      <c r="V99" s="112"/>
      <c r="W99" s="113"/>
      <c r="X99" s="6"/>
      <c r="Y99" s="101"/>
      <c r="Z99" s="112"/>
      <c r="AA99" s="112"/>
      <c r="AB99" s="112"/>
      <c r="AC99" s="113"/>
      <c r="AD99" s="6"/>
      <c r="AE99" s="101"/>
      <c r="AF99" s="112"/>
      <c r="AG99" s="112"/>
      <c r="AH99" s="112"/>
      <c r="AI99" s="113"/>
      <c r="AJ99" s="6"/>
      <c r="AK99" s="101"/>
      <c r="AL99" s="112"/>
      <c r="AM99" s="112"/>
      <c r="AN99" s="112"/>
      <c r="AO99" s="113"/>
      <c r="AP99" s="130"/>
    </row>
    <row r="100" spans="1:42" x14ac:dyDescent="0.25">
      <c r="A100" s="101"/>
      <c r="B100" s="112"/>
      <c r="C100" s="112"/>
      <c r="D100" s="112"/>
      <c r="E100" s="113"/>
      <c r="F100" s="129"/>
      <c r="G100" s="101"/>
      <c r="H100" s="112"/>
      <c r="I100" s="112"/>
      <c r="J100" s="112"/>
      <c r="K100" s="113"/>
      <c r="L100" s="131"/>
      <c r="M100" s="101"/>
      <c r="N100" s="112"/>
      <c r="O100" s="112"/>
      <c r="P100" s="112"/>
      <c r="Q100" s="113"/>
      <c r="R100" s="6"/>
      <c r="S100" s="101"/>
      <c r="T100" s="112"/>
      <c r="U100" s="112"/>
      <c r="V100" s="112"/>
      <c r="W100" s="113"/>
      <c r="X100" s="6"/>
      <c r="Y100" s="101"/>
      <c r="Z100" s="112"/>
      <c r="AA100" s="112"/>
      <c r="AB100" s="112"/>
      <c r="AC100" s="113"/>
      <c r="AD100" s="6"/>
      <c r="AE100" s="101"/>
      <c r="AF100" s="112"/>
      <c r="AG100" s="112"/>
      <c r="AH100" s="112"/>
      <c r="AI100" s="113"/>
      <c r="AJ100" s="6"/>
      <c r="AK100" s="101"/>
      <c r="AL100" s="112"/>
      <c r="AM100" s="112"/>
      <c r="AN100" s="112"/>
      <c r="AO100" s="113"/>
      <c r="AP100" s="130"/>
    </row>
    <row r="101" spans="1:42" x14ac:dyDescent="0.25">
      <c r="A101" s="101"/>
      <c r="B101" s="112"/>
      <c r="C101" s="112"/>
      <c r="D101" s="112"/>
      <c r="E101" s="113"/>
      <c r="F101" s="129"/>
      <c r="G101" s="101"/>
      <c r="H101" s="112"/>
      <c r="I101" s="112"/>
      <c r="J101" s="112"/>
      <c r="K101" s="113"/>
      <c r="L101" s="131"/>
      <c r="M101" s="101"/>
      <c r="N101" s="112"/>
      <c r="O101" s="112"/>
      <c r="P101" s="112"/>
      <c r="Q101" s="113"/>
      <c r="R101" s="6"/>
      <c r="S101" s="101"/>
      <c r="T101" s="112"/>
      <c r="U101" s="112"/>
      <c r="V101" s="112"/>
      <c r="W101" s="113"/>
      <c r="X101" s="6"/>
      <c r="Y101" s="101"/>
      <c r="Z101" s="112"/>
      <c r="AA101" s="112"/>
      <c r="AB101" s="112"/>
      <c r="AC101" s="113"/>
      <c r="AD101" s="6"/>
      <c r="AE101" s="101"/>
      <c r="AF101" s="112"/>
      <c r="AG101" s="112"/>
      <c r="AH101" s="112"/>
      <c r="AI101" s="113"/>
      <c r="AJ101" s="6"/>
      <c r="AK101" s="101"/>
      <c r="AL101" s="112"/>
      <c r="AM101" s="112"/>
      <c r="AN101" s="112"/>
      <c r="AO101" s="113"/>
      <c r="AP101" s="130"/>
    </row>
    <row r="102" spans="1:42" x14ac:dyDescent="0.25">
      <c r="A102" s="101"/>
      <c r="B102" s="112"/>
      <c r="C102" s="112"/>
      <c r="D102" s="112"/>
      <c r="E102" s="113"/>
      <c r="F102" s="128"/>
      <c r="G102" s="101"/>
      <c r="H102" s="112"/>
      <c r="I102" s="112"/>
      <c r="J102" s="112"/>
      <c r="K102" s="113"/>
      <c r="L102" s="130"/>
      <c r="M102" s="101"/>
      <c r="N102" s="112"/>
      <c r="O102" s="112"/>
      <c r="P102" s="112"/>
      <c r="Q102" s="113"/>
      <c r="R102" s="6"/>
      <c r="S102" s="101"/>
      <c r="T102" s="112"/>
      <c r="U102" s="112"/>
      <c r="V102" s="112"/>
      <c r="W102" s="113"/>
      <c r="X102" s="6"/>
      <c r="Y102" s="101"/>
      <c r="Z102" s="112"/>
      <c r="AA102" s="112"/>
      <c r="AB102" s="112"/>
      <c r="AC102" s="113"/>
      <c r="AD102" s="6"/>
      <c r="AE102" s="101"/>
      <c r="AF102" s="112"/>
      <c r="AG102" s="112"/>
      <c r="AH102" s="112"/>
      <c r="AI102" s="113"/>
      <c r="AJ102" s="6"/>
      <c r="AK102" s="101"/>
      <c r="AL102" s="112"/>
      <c r="AM102" s="112"/>
      <c r="AN102" s="112"/>
      <c r="AO102" s="113"/>
      <c r="AP102" s="130"/>
    </row>
    <row r="103" spans="1:42" x14ac:dyDescent="0.25">
      <c r="A103" s="101"/>
      <c r="B103" s="112"/>
      <c r="C103" s="112"/>
      <c r="D103" s="112"/>
      <c r="E103" s="113"/>
      <c r="F103" s="128"/>
      <c r="G103" s="101"/>
      <c r="H103" s="112"/>
      <c r="I103" s="112"/>
      <c r="J103" s="112"/>
      <c r="K103" s="113"/>
      <c r="L103" s="130"/>
      <c r="M103" s="101"/>
      <c r="N103" s="112"/>
      <c r="O103" s="112"/>
      <c r="P103" s="112"/>
      <c r="Q103" s="113"/>
      <c r="R103" s="6"/>
      <c r="S103" s="101"/>
      <c r="T103" s="112"/>
      <c r="U103" s="112"/>
      <c r="V103" s="112"/>
      <c r="W103" s="113"/>
      <c r="X103" s="6"/>
      <c r="Y103" s="101"/>
      <c r="Z103" s="112"/>
      <c r="AA103" s="112"/>
      <c r="AB103" s="112"/>
      <c r="AC103" s="113"/>
      <c r="AD103" s="6"/>
      <c r="AE103" s="101"/>
      <c r="AF103" s="112"/>
      <c r="AG103" s="112"/>
      <c r="AH103" s="112"/>
      <c r="AI103" s="113"/>
      <c r="AJ103" s="6"/>
      <c r="AK103" s="101"/>
      <c r="AL103" s="112"/>
      <c r="AM103" s="112"/>
      <c r="AN103" s="112"/>
      <c r="AO103" s="113"/>
      <c r="AP103" s="130"/>
    </row>
    <row r="104" spans="1:42" x14ac:dyDescent="0.25">
      <c r="A104" s="101"/>
      <c r="B104" s="112"/>
      <c r="C104" s="112"/>
      <c r="D104" s="112"/>
      <c r="E104" s="113"/>
      <c r="F104" s="128"/>
      <c r="G104" s="101"/>
      <c r="H104" s="112"/>
      <c r="I104" s="112"/>
      <c r="J104" s="112"/>
      <c r="K104" s="113"/>
      <c r="L104" s="130"/>
      <c r="M104" s="101"/>
      <c r="N104" s="112"/>
      <c r="O104" s="112"/>
      <c r="P104" s="112"/>
      <c r="Q104" s="113"/>
      <c r="R104" s="6"/>
      <c r="S104" s="101"/>
      <c r="T104" s="112"/>
      <c r="U104" s="112"/>
      <c r="V104" s="112"/>
      <c r="W104" s="113"/>
      <c r="X104" s="6"/>
      <c r="Y104" s="101"/>
      <c r="Z104" s="112"/>
      <c r="AA104" s="112"/>
      <c r="AB104" s="112"/>
      <c r="AC104" s="113"/>
      <c r="AD104" s="6"/>
      <c r="AE104" s="101"/>
      <c r="AF104" s="112"/>
      <c r="AG104" s="112"/>
      <c r="AH104" s="112"/>
      <c r="AI104" s="113"/>
      <c r="AJ104" s="6"/>
      <c r="AK104" s="101"/>
      <c r="AL104" s="112"/>
      <c r="AM104" s="112"/>
      <c r="AN104" s="112"/>
      <c r="AO104" s="113"/>
      <c r="AP104" s="130"/>
    </row>
    <row r="105" spans="1:42" x14ac:dyDescent="0.25">
      <c r="A105" s="101"/>
      <c r="B105" s="112"/>
      <c r="C105" s="112"/>
      <c r="D105" s="112"/>
      <c r="E105" s="113"/>
      <c r="F105" s="128"/>
      <c r="G105" s="101"/>
      <c r="H105" s="112"/>
      <c r="I105" s="112"/>
      <c r="J105" s="112"/>
      <c r="K105" s="113"/>
      <c r="L105" s="130"/>
      <c r="M105" s="101"/>
      <c r="N105" s="112"/>
      <c r="O105" s="112"/>
      <c r="P105" s="112"/>
      <c r="Q105" s="113"/>
      <c r="R105" s="6"/>
      <c r="S105" s="101"/>
      <c r="T105" s="112"/>
      <c r="U105" s="112"/>
      <c r="V105" s="112"/>
      <c r="W105" s="113"/>
      <c r="X105" s="6"/>
      <c r="Y105" s="101"/>
      <c r="Z105" s="112"/>
      <c r="AA105" s="112"/>
      <c r="AB105" s="112"/>
      <c r="AC105" s="113"/>
      <c r="AD105" s="6"/>
      <c r="AE105" s="101"/>
      <c r="AF105" s="112"/>
      <c r="AG105" s="112"/>
      <c r="AH105" s="112"/>
      <c r="AI105" s="113"/>
      <c r="AJ105" s="6"/>
      <c r="AK105" s="101"/>
      <c r="AL105" s="112"/>
      <c r="AM105" s="112"/>
      <c r="AN105" s="112"/>
      <c r="AO105" s="113"/>
      <c r="AP105" s="130"/>
    </row>
    <row r="106" spans="1:42" x14ac:dyDescent="0.25">
      <c r="A106" s="101"/>
      <c r="B106" s="112"/>
      <c r="C106" s="112"/>
      <c r="D106" s="112"/>
      <c r="E106" s="113"/>
      <c r="F106" s="128"/>
      <c r="G106" s="101"/>
      <c r="H106" s="112"/>
      <c r="I106" s="112"/>
      <c r="J106" s="112"/>
      <c r="K106" s="113"/>
      <c r="L106" s="130"/>
      <c r="M106" s="101"/>
      <c r="N106" s="112"/>
      <c r="O106" s="112"/>
      <c r="P106" s="112"/>
      <c r="Q106" s="113"/>
      <c r="R106" s="6"/>
      <c r="S106" s="101"/>
      <c r="T106" s="112"/>
      <c r="U106" s="112"/>
      <c r="V106" s="112"/>
      <c r="W106" s="113"/>
      <c r="X106" s="6"/>
      <c r="Y106" s="101"/>
      <c r="Z106" s="112"/>
      <c r="AA106" s="112"/>
      <c r="AB106" s="112"/>
      <c r="AC106" s="113"/>
      <c r="AD106" s="6"/>
      <c r="AE106" s="101"/>
      <c r="AF106" s="112"/>
      <c r="AG106" s="112"/>
      <c r="AH106" s="112"/>
      <c r="AI106" s="113"/>
      <c r="AJ106" s="6"/>
      <c r="AK106" s="101"/>
      <c r="AL106" s="112"/>
      <c r="AM106" s="112"/>
      <c r="AN106" s="112"/>
      <c r="AO106" s="113"/>
      <c r="AP106" s="130"/>
    </row>
    <row r="107" spans="1:42" x14ac:dyDescent="0.25">
      <c r="A107" s="101"/>
      <c r="B107" s="112"/>
      <c r="C107" s="112"/>
      <c r="D107" s="112"/>
      <c r="E107" s="113"/>
      <c r="F107" s="128"/>
      <c r="G107" s="101"/>
      <c r="H107" s="112"/>
      <c r="I107" s="112"/>
      <c r="J107" s="112"/>
      <c r="K107" s="113"/>
      <c r="L107" s="130"/>
      <c r="M107" s="101"/>
      <c r="N107" s="112"/>
      <c r="O107" s="112"/>
      <c r="P107" s="112"/>
      <c r="Q107" s="113"/>
      <c r="R107" s="6"/>
      <c r="S107" s="101"/>
      <c r="T107" s="112"/>
      <c r="U107" s="112"/>
      <c r="V107" s="112"/>
      <c r="W107" s="113"/>
      <c r="X107" s="6"/>
      <c r="Y107" s="101"/>
      <c r="Z107" s="112"/>
      <c r="AA107" s="112"/>
      <c r="AB107" s="112"/>
      <c r="AC107" s="113"/>
      <c r="AD107" s="6"/>
      <c r="AE107" s="101"/>
      <c r="AF107" s="112"/>
      <c r="AG107" s="112"/>
      <c r="AH107" s="112"/>
      <c r="AI107" s="113"/>
      <c r="AJ107" s="6"/>
      <c r="AK107" s="101"/>
      <c r="AL107" s="112"/>
      <c r="AM107" s="112"/>
      <c r="AN107" s="112"/>
      <c r="AO107" s="113"/>
      <c r="AP107" s="130"/>
    </row>
    <row r="108" spans="1:42" x14ac:dyDescent="0.25">
      <c r="A108" s="101"/>
      <c r="B108" s="112"/>
      <c r="C108" s="112"/>
      <c r="D108" s="112"/>
      <c r="E108" s="113"/>
      <c r="F108" s="128"/>
      <c r="G108" s="101"/>
      <c r="H108" s="112"/>
      <c r="I108" s="112"/>
      <c r="J108" s="112"/>
      <c r="K108" s="113"/>
      <c r="L108" s="130"/>
      <c r="M108" s="101"/>
      <c r="N108" s="112"/>
      <c r="O108" s="112"/>
      <c r="P108" s="112"/>
      <c r="Q108" s="113"/>
      <c r="R108" s="6"/>
      <c r="S108" s="101"/>
      <c r="T108" s="112"/>
      <c r="U108" s="112"/>
      <c r="V108" s="112"/>
      <c r="W108" s="113"/>
      <c r="X108" s="6"/>
      <c r="Y108" s="101"/>
      <c r="Z108" s="112"/>
      <c r="AA108" s="112"/>
      <c r="AB108" s="112"/>
      <c r="AC108" s="113"/>
      <c r="AD108" s="6"/>
      <c r="AE108" s="101"/>
      <c r="AF108" s="112"/>
      <c r="AG108" s="112"/>
      <c r="AH108" s="112"/>
      <c r="AI108" s="113"/>
      <c r="AJ108" s="6"/>
      <c r="AK108" s="101"/>
      <c r="AL108" s="112"/>
      <c r="AM108" s="112"/>
      <c r="AN108" s="112"/>
      <c r="AO108" s="113"/>
      <c r="AP108" s="130"/>
    </row>
    <row r="109" spans="1:42" x14ac:dyDescent="0.25">
      <c r="A109" s="101"/>
      <c r="B109" s="112"/>
      <c r="C109" s="112"/>
      <c r="D109" s="112"/>
      <c r="E109" s="113"/>
      <c r="F109" s="128"/>
      <c r="G109" s="101"/>
      <c r="H109" s="112"/>
      <c r="I109" s="112"/>
      <c r="J109" s="112"/>
      <c r="K109" s="113"/>
      <c r="L109" s="130"/>
      <c r="M109" s="101"/>
      <c r="N109" s="112"/>
      <c r="O109" s="112"/>
      <c r="P109" s="112"/>
      <c r="Q109" s="113"/>
      <c r="R109" s="6"/>
      <c r="S109" s="101"/>
      <c r="T109" s="112"/>
      <c r="U109" s="112"/>
      <c r="V109" s="112"/>
      <c r="W109" s="113"/>
      <c r="X109" s="6"/>
      <c r="Y109" s="101"/>
      <c r="Z109" s="112"/>
      <c r="AA109" s="112"/>
      <c r="AB109" s="112"/>
      <c r="AC109" s="113"/>
      <c r="AD109" s="6"/>
      <c r="AE109" s="101"/>
      <c r="AF109" s="112"/>
      <c r="AG109" s="112"/>
      <c r="AH109" s="112"/>
      <c r="AI109" s="113"/>
      <c r="AJ109" s="6"/>
      <c r="AK109" s="101"/>
      <c r="AL109" s="112"/>
      <c r="AM109" s="112"/>
      <c r="AN109" s="112"/>
      <c r="AO109" s="113"/>
      <c r="AP109" s="130"/>
    </row>
    <row r="110" spans="1:42" x14ac:dyDescent="0.25">
      <c r="A110" s="101"/>
      <c r="B110" s="112"/>
      <c r="C110" s="112"/>
      <c r="D110" s="112"/>
      <c r="E110" s="113"/>
      <c r="F110" s="128"/>
      <c r="G110" s="101"/>
      <c r="H110" s="112"/>
      <c r="I110" s="112"/>
      <c r="J110" s="112"/>
      <c r="K110" s="113"/>
      <c r="L110" s="130"/>
      <c r="M110" s="101"/>
      <c r="N110" s="112"/>
      <c r="O110" s="112"/>
      <c r="P110" s="112"/>
      <c r="Q110" s="113"/>
      <c r="R110" s="6"/>
      <c r="S110" s="101"/>
      <c r="T110" s="112"/>
      <c r="U110" s="112"/>
      <c r="V110" s="112"/>
      <c r="W110" s="113"/>
      <c r="X110" s="6"/>
      <c r="Y110" s="101"/>
      <c r="Z110" s="112"/>
      <c r="AA110" s="112"/>
      <c r="AB110" s="112"/>
      <c r="AC110" s="113"/>
      <c r="AD110" s="6"/>
      <c r="AE110" s="101"/>
      <c r="AF110" s="112"/>
      <c r="AG110" s="112"/>
      <c r="AH110" s="112"/>
      <c r="AI110" s="113"/>
      <c r="AJ110" s="6"/>
      <c r="AK110" s="101"/>
      <c r="AL110" s="112"/>
      <c r="AM110" s="112"/>
      <c r="AN110" s="112"/>
      <c r="AO110" s="113"/>
      <c r="AP110" s="130"/>
    </row>
    <row r="111" spans="1:42" x14ac:dyDescent="0.25">
      <c r="A111" s="101"/>
      <c r="B111" s="112"/>
      <c r="C111" s="112"/>
      <c r="D111" s="112"/>
      <c r="E111" s="113"/>
      <c r="F111" s="128"/>
      <c r="G111" s="101"/>
      <c r="H111" s="112"/>
      <c r="I111" s="112"/>
      <c r="J111" s="112"/>
      <c r="K111" s="113"/>
      <c r="L111" s="130"/>
      <c r="M111" s="101"/>
      <c r="N111" s="112"/>
      <c r="O111" s="112"/>
      <c r="P111" s="112"/>
      <c r="Q111" s="113"/>
      <c r="R111" s="6"/>
      <c r="S111" s="101"/>
      <c r="T111" s="112"/>
      <c r="U111" s="112"/>
      <c r="V111" s="112"/>
      <c r="W111" s="113"/>
      <c r="X111" s="6"/>
      <c r="Y111" s="101"/>
      <c r="Z111" s="112"/>
      <c r="AA111" s="112"/>
      <c r="AB111" s="112"/>
      <c r="AC111" s="113"/>
      <c r="AD111" s="6"/>
      <c r="AE111" s="101"/>
      <c r="AF111" s="112"/>
      <c r="AG111" s="112"/>
      <c r="AH111" s="112"/>
      <c r="AI111" s="113"/>
      <c r="AJ111" s="6"/>
      <c r="AK111" s="101"/>
      <c r="AL111" s="112"/>
      <c r="AM111" s="112"/>
      <c r="AN111" s="112"/>
      <c r="AO111" s="113"/>
      <c r="AP111" s="130"/>
    </row>
    <row r="112" spans="1:42" x14ac:dyDescent="0.25">
      <c r="A112" s="101"/>
      <c r="B112" s="112"/>
      <c r="C112" s="112"/>
      <c r="D112" s="112"/>
      <c r="E112" s="113"/>
      <c r="F112" s="128"/>
      <c r="G112" s="101"/>
      <c r="H112" s="112"/>
      <c r="I112" s="112"/>
      <c r="J112" s="112"/>
      <c r="K112" s="113"/>
      <c r="L112" s="130"/>
      <c r="M112" s="101"/>
      <c r="N112" s="112"/>
      <c r="O112" s="112"/>
      <c r="P112" s="112"/>
      <c r="Q112" s="113"/>
      <c r="R112" s="6"/>
      <c r="S112" s="101"/>
      <c r="T112" s="112"/>
      <c r="U112" s="112"/>
      <c r="V112" s="112"/>
      <c r="W112" s="113"/>
      <c r="X112" s="6"/>
      <c r="Y112" s="101"/>
      <c r="Z112" s="112"/>
      <c r="AA112" s="112"/>
      <c r="AB112" s="112"/>
      <c r="AC112" s="113"/>
      <c r="AD112" s="6"/>
      <c r="AE112" s="101"/>
      <c r="AF112" s="112"/>
      <c r="AG112" s="112"/>
      <c r="AH112" s="112"/>
      <c r="AI112" s="113"/>
      <c r="AJ112" s="6"/>
      <c r="AK112" s="101"/>
      <c r="AL112" s="112"/>
      <c r="AM112" s="112"/>
      <c r="AN112" s="112"/>
      <c r="AO112" s="113"/>
      <c r="AP112" s="130"/>
    </row>
    <row r="113" spans="1:42" x14ac:dyDescent="0.25">
      <c r="A113" s="101"/>
      <c r="B113" s="112"/>
      <c r="C113" s="112"/>
      <c r="D113" s="112"/>
      <c r="E113" s="113"/>
      <c r="F113" s="128"/>
      <c r="G113" s="101"/>
      <c r="H113" s="112"/>
      <c r="I113" s="112"/>
      <c r="J113" s="112"/>
      <c r="K113" s="113"/>
      <c r="L113" s="130"/>
      <c r="M113" s="101"/>
      <c r="N113" s="112"/>
      <c r="O113" s="112"/>
      <c r="P113" s="112"/>
      <c r="Q113" s="113"/>
      <c r="R113" s="6"/>
      <c r="S113" s="101"/>
      <c r="T113" s="112"/>
      <c r="U113" s="112"/>
      <c r="V113" s="112"/>
      <c r="W113" s="113"/>
      <c r="X113" s="6"/>
      <c r="Y113" s="101"/>
      <c r="Z113" s="112"/>
      <c r="AA113" s="112"/>
      <c r="AB113" s="112"/>
      <c r="AC113" s="113"/>
      <c r="AD113" s="6"/>
      <c r="AE113" s="101"/>
      <c r="AF113" s="112"/>
      <c r="AG113" s="112"/>
      <c r="AH113" s="112"/>
      <c r="AI113" s="113"/>
      <c r="AJ113" s="6"/>
      <c r="AK113" s="101"/>
      <c r="AL113" s="112"/>
      <c r="AM113" s="112"/>
      <c r="AN113" s="112"/>
      <c r="AO113" s="113"/>
      <c r="AP113" s="130"/>
    </row>
    <row r="114" spans="1:42" x14ac:dyDescent="0.25">
      <c r="A114" s="101"/>
      <c r="B114" s="112"/>
      <c r="C114" s="112"/>
      <c r="D114" s="112"/>
      <c r="E114" s="113"/>
      <c r="F114" s="128"/>
      <c r="G114" s="101"/>
      <c r="H114" s="112"/>
      <c r="I114" s="112"/>
      <c r="J114" s="112"/>
      <c r="K114" s="113"/>
      <c r="L114" s="130"/>
      <c r="M114" s="101"/>
      <c r="N114" s="112"/>
      <c r="O114" s="112"/>
      <c r="P114" s="112"/>
      <c r="Q114" s="113"/>
      <c r="R114" s="6"/>
      <c r="S114" s="101"/>
      <c r="T114" s="112"/>
      <c r="U114" s="112"/>
      <c r="V114" s="112"/>
      <c r="W114" s="113"/>
      <c r="X114" s="6"/>
      <c r="Y114" s="101"/>
      <c r="Z114" s="112"/>
      <c r="AA114" s="112"/>
      <c r="AB114" s="112"/>
      <c r="AC114" s="113"/>
      <c r="AD114" s="6"/>
      <c r="AE114" s="101"/>
      <c r="AF114" s="112"/>
      <c r="AG114" s="112"/>
      <c r="AH114" s="112"/>
      <c r="AI114" s="113"/>
      <c r="AJ114" s="6"/>
      <c r="AK114" s="101"/>
      <c r="AL114" s="112"/>
      <c r="AM114" s="112"/>
      <c r="AN114" s="112"/>
      <c r="AO114" s="113"/>
      <c r="AP114" s="130"/>
    </row>
    <row r="115" spans="1:42" x14ac:dyDescent="0.25">
      <c r="A115" s="101"/>
      <c r="B115" s="112"/>
      <c r="C115" s="112"/>
      <c r="D115" s="112"/>
      <c r="E115" s="113"/>
      <c r="F115" s="128"/>
      <c r="G115" s="101"/>
      <c r="H115" s="112"/>
      <c r="I115" s="112"/>
      <c r="J115" s="112"/>
      <c r="K115" s="113"/>
      <c r="L115" s="130"/>
      <c r="M115" s="101"/>
      <c r="N115" s="112"/>
      <c r="O115" s="112"/>
      <c r="P115" s="112"/>
      <c r="Q115" s="113"/>
      <c r="R115" s="6"/>
      <c r="S115" s="101"/>
      <c r="T115" s="112"/>
      <c r="U115" s="112"/>
      <c r="V115" s="112"/>
      <c r="W115" s="113"/>
      <c r="X115" s="6"/>
      <c r="Y115" s="101"/>
      <c r="Z115" s="112"/>
      <c r="AA115" s="112"/>
      <c r="AB115" s="112"/>
      <c r="AC115" s="113"/>
      <c r="AD115" s="6"/>
      <c r="AE115" s="101"/>
      <c r="AF115" s="112"/>
      <c r="AG115" s="112"/>
      <c r="AH115" s="112"/>
      <c r="AI115" s="113"/>
      <c r="AJ115" s="6"/>
      <c r="AK115" s="101"/>
      <c r="AL115" s="112"/>
      <c r="AM115" s="112"/>
      <c r="AN115" s="112"/>
      <c r="AO115" s="113"/>
      <c r="AP115" s="130"/>
    </row>
    <row r="116" spans="1:42" x14ac:dyDescent="0.25">
      <c r="A116" s="101"/>
      <c r="B116" s="112"/>
      <c r="C116" s="112"/>
      <c r="D116" s="112"/>
      <c r="E116" s="113"/>
      <c r="F116" s="128"/>
      <c r="G116" s="101"/>
      <c r="H116" s="112"/>
      <c r="I116" s="112"/>
      <c r="J116" s="112"/>
      <c r="K116" s="113"/>
      <c r="L116" s="130"/>
      <c r="M116" s="101"/>
      <c r="N116" s="112"/>
      <c r="O116" s="112"/>
      <c r="P116" s="112"/>
      <c r="Q116" s="113"/>
      <c r="R116" s="6"/>
      <c r="S116" s="101"/>
      <c r="T116" s="112"/>
      <c r="U116" s="112"/>
      <c r="V116" s="112"/>
      <c r="W116" s="113"/>
      <c r="X116" s="6"/>
      <c r="Y116" s="101"/>
      <c r="Z116" s="112"/>
      <c r="AA116" s="112"/>
      <c r="AB116" s="112"/>
      <c r="AC116" s="113"/>
      <c r="AD116" s="6"/>
      <c r="AE116" s="101"/>
      <c r="AF116" s="112"/>
      <c r="AG116" s="112"/>
      <c r="AH116" s="112"/>
      <c r="AI116" s="113"/>
      <c r="AJ116" s="6"/>
      <c r="AK116" s="101"/>
      <c r="AL116" s="112"/>
      <c r="AM116" s="112"/>
      <c r="AN116" s="112"/>
      <c r="AO116" s="113"/>
      <c r="AP116" s="130"/>
    </row>
    <row r="117" spans="1:42" x14ac:dyDescent="0.25">
      <c r="A117" s="101"/>
      <c r="B117" s="112"/>
      <c r="C117" s="112"/>
      <c r="D117" s="112"/>
      <c r="E117" s="113"/>
      <c r="F117" s="128"/>
      <c r="G117" s="101"/>
      <c r="H117" s="112"/>
      <c r="I117" s="112"/>
      <c r="J117" s="112"/>
      <c r="K117" s="113"/>
      <c r="L117" s="130"/>
      <c r="M117" s="101"/>
      <c r="N117" s="112"/>
      <c r="O117" s="112"/>
      <c r="P117" s="112"/>
      <c r="Q117" s="113"/>
      <c r="R117" s="6"/>
      <c r="S117" s="101"/>
      <c r="T117" s="112"/>
      <c r="U117" s="112"/>
      <c r="V117" s="112"/>
      <c r="W117" s="113"/>
      <c r="X117" s="6"/>
      <c r="Y117" s="101"/>
      <c r="Z117" s="112"/>
      <c r="AA117" s="112"/>
      <c r="AB117" s="112"/>
      <c r="AC117" s="113"/>
      <c r="AD117" s="6"/>
      <c r="AE117" s="101"/>
      <c r="AF117" s="112"/>
      <c r="AG117" s="112"/>
      <c r="AH117" s="112"/>
      <c r="AI117" s="113"/>
      <c r="AJ117" s="6"/>
      <c r="AK117" s="101"/>
      <c r="AL117" s="112"/>
      <c r="AM117" s="112"/>
      <c r="AN117" s="112"/>
      <c r="AO117" s="113"/>
      <c r="AP117" s="130"/>
    </row>
    <row r="118" spans="1:42" x14ac:dyDescent="0.25">
      <c r="A118" s="101"/>
      <c r="B118" s="112"/>
      <c r="C118" s="112"/>
      <c r="D118" s="112"/>
      <c r="E118" s="113"/>
      <c r="F118" s="128"/>
      <c r="G118" s="101"/>
      <c r="H118" s="112"/>
      <c r="I118" s="112"/>
      <c r="J118" s="112"/>
      <c r="K118" s="113"/>
      <c r="L118" s="130"/>
      <c r="M118" s="101"/>
      <c r="N118" s="112"/>
      <c r="O118" s="112"/>
      <c r="P118" s="112"/>
      <c r="Q118" s="113"/>
      <c r="R118" s="6"/>
      <c r="S118" s="101"/>
      <c r="T118" s="112"/>
      <c r="U118" s="112"/>
      <c r="V118" s="112"/>
      <c r="W118" s="113"/>
      <c r="X118" s="6"/>
      <c r="Y118" s="101"/>
      <c r="Z118" s="112"/>
      <c r="AA118" s="112"/>
      <c r="AB118" s="112"/>
      <c r="AC118" s="113"/>
      <c r="AD118" s="6"/>
      <c r="AE118" s="101"/>
      <c r="AF118" s="112"/>
      <c r="AG118" s="112"/>
      <c r="AH118" s="112"/>
      <c r="AI118" s="113"/>
      <c r="AJ118" s="6"/>
      <c r="AK118" s="101"/>
      <c r="AL118" s="112"/>
      <c r="AM118" s="112"/>
      <c r="AN118" s="112"/>
      <c r="AO118" s="113"/>
      <c r="AP118" s="130"/>
    </row>
    <row r="119" spans="1:42" x14ac:dyDescent="0.25">
      <c r="A119" s="101"/>
      <c r="B119" s="112"/>
      <c r="C119" s="112"/>
      <c r="D119" s="112"/>
      <c r="E119" s="113"/>
      <c r="F119" s="128"/>
      <c r="G119" s="101"/>
      <c r="H119" s="112"/>
      <c r="I119" s="112"/>
      <c r="J119" s="112"/>
      <c r="K119" s="113"/>
      <c r="L119" s="130"/>
      <c r="M119" s="101"/>
      <c r="N119" s="112"/>
      <c r="O119" s="112"/>
      <c r="P119" s="112"/>
      <c r="Q119" s="113"/>
      <c r="R119" s="6"/>
      <c r="S119" s="101"/>
      <c r="T119" s="112"/>
      <c r="U119" s="112"/>
      <c r="V119" s="112"/>
      <c r="W119" s="113"/>
      <c r="X119" s="6"/>
      <c r="Y119" s="101"/>
      <c r="Z119" s="112"/>
      <c r="AA119" s="112"/>
      <c r="AB119" s="112"/>
      <c r="AC119" s="113"/>
      <c r="AD119" s="6"/>
      <c r="AE119" s="101"/>
      <c r="AF119" s="112"/>
      <c r="AG119" s="112"/>
      <c r="AH119" s="112"/>
      <c r="AI119" s="113"/>
      <c r="AJ119" s="6"/>
      <c r="AK119" s="101"/>
      <c r="AL119" s="112"/>
      <c r="AM119" s="112"/>
      <c r="AN119" s="112"/>
      <c r="AO119" s="113"/>
      <c r="AP119" s="130"/>
    </row>
    <row r="120" spans="1:42" x14ac:dyDescent="0.25">
      <c r="A120" s="101"/>
      <c r="B120" s="112"/>
      <c r="C120" s="112"/>
      <c r="D120" s="112"/>
      <c r="E120" s="113"/>
      <c r="F120" s="128"/>
      <c r="G120" s="101"/>
      <c r="H120" s="112"/>
      <c r="I120" s="112"/>
      <c r="J120" s="112"/>
      <c r="K120" s="113"/>
      <c r="L120" s="130"/>
      <c r="M120" s="101"/>
      <c r="N120" s="112"/>
      <c r="O120" s="112"/>
      <c r="P120" s="112"/>
      <c r="Q120" s="113"/>
      <c r="R120" s="6"/>
      <c r="S120" s="101"/>
      <c r="T120" s="112"/>
      <c r="U120" s="112"/>
      <c r="V120" s="112"/>
      <c r="W120" s="113"/>
      <c r="X120" s="6"/>
      <c r="Y120" s="101"/>
      <c r="Z120" s="112"/>
      <c r="AA120" s="112"/>
      <c r="AB120" s="112"/>
      <c r="AC120" s="113"/>
      <c r="AD120" s="6"/>
      <c r="AE120" s="101"/>
      <c r="AF120" s="112"/>
      <c r="AG120" s="112"/>
      <c r="AH120" s="112"/>
      <c r="AI120" s="113"/>
      <c r="AJ120" s="6"/>
      <c r="AK120" s="101"/>
      <c r="AL120" s="112"/>
      <c r="AM120" s="112"/>
      <c r="AN120" s="112"/>
      <c r="AO120" s="113"/>
      <c r="AP120" s="130"/>
    </row>
    <row r="121" spans="1:42" x14ac:dyDescent="0.25">
      <c r="A121" s="101"/>
      <c r="B121" s="112"/>
      <c r="C121" s="112"/>
      <c r="D121" s="112"/>
      <c r="E121" s="113"/>
      <c r="F121" s="128"/>
      <c r="G121" s="101"/>
      <c r="H121" s="112"/>
      <c r="I121" s="112"/>
      <c r="J121" s="112"/>
      <c r="K121" s="113"/>
      <c r="L121" s="130"/>
      <c r="M121" s="101"/>
      <c r="N121" s="112"/>
      <c r="O121" s="112"/>
      <c r="P121" s="112"/>
      <c r="Q121" s="113"/>
      <c r="R121" s="6"/>
      <c r="S121" s="101"/>
      <c r="T121" s="112"/>
      <c r="U121" s="112"/>
      <c r="V121" s="112"/>
      <c r="W121" s="113"/>
      <c r="X121" s="6"/>
      <c r="Y121" s="101"/>
      <c r="Z121" s="112"/>
      <c r="AA121" s="112"/>
      <c r="AB121" s="112"/>
      <c r="AC121" s="113"/>
      <c r="AD121" s="6"/>
      <c r="AE121" s="101"/>
      <c r="AF121" s="112"/>
      <c r="AG121" s="112"/>
      <c r="AH121" s="112"/>
      <c r="AI121" s="113"/>
      <c r="AJ121" s="6"/>
      <c r="AK121" s="101"/>
      <c r="AL121" s="112"/>
      <c r="AM121" s="112"/>
      <c r="AN121" s="112"/>
      <c r="AO121" s="113"/>
      <c r="AP121" s="130"/>
    </row>
    <row r="122" spans="1:42" x14ac:dyDescent="0.25">
      <c r="A122" s="101"/>
      <c r="B122" s="112"/>
      <c r="C122" s="112"/>
      <c r="D122" s="112"/>
      <c r="E122" s="113"/>
      <c r="F122" s="128"/>
      <c r="G122" s="101"/>
      <c r="H122" s="112"/>
      <c r="I122" s="112"/>
      <c r="J122" s="112"/>
      <c r="K122" s="113"/>
      <c r="L122" s="130"/>
      <c r="M122" s="101"/>
      <c r="N122" s="112"/>
      <c r="O122" s="112"/>
      <c r="P122" s="112"/>
      <c r="Q122" s="113"/>
      <c r="R122" s="6"/>
      <c r="S122" s="101"/>
      <c r="T122" s="112"/>
      <c r="U122" s="112"/>
      <c r="V122" s="112"/>
      <c r="W122" s="113"/>
      <c r="X122" s="6"/>
      <c r="Y122" s="101"/>
      <c r="Z122" s="112"/>
      <c r="AA122" s="112"/>
      <c r="AB122" s="112"/>
      <c r="AC122" s="113"/>
      <c r="AD122" s="6"/>
      <c r="AE122" s="101"/>
      <c r="AF122" s="112"/>
      <c r="AG122" s="112"/>
      <c r="AH122" s="112"/>
      <c r="AI122" s="113"/>
      <c r="AJ122" s="6"/>
      <c r="AK122" s="101"/>
      <c r="AL122" s="112"/>
      <c r="AM122" s="112"/>
      <c r="AN122" s="112"/>
      <c r="AO122" s="113"/>
      <c r="AP122" s="130"/>
    </row>
    <row r="123" spans="1:42" x14ac:dyDescent="0.25">
      <c r="A123" s="101"/>
      <c r="B123" s="112"/>
      <c r="C123" s="112"/>
      <c r="D123" s="112"/>
      <c r="E123" s="113"/>
      <c r="F123" s="128"/>
      <c r="G123" s="101"/>
      <c r="H123" s="112"/>
      <c r="I123" s="112"/>
      <c r="J123" s="112"/>
      <c r="K123" s="113"/>
      <c r="L123" s="130"/>
      <c r="M123" s="101"/>
      <c r="N123" s="112"/>
      <c r="O123" s="112"/>
      <c r="P123" s="112"/>
      <c r="Q123" s="113"/>
      <c r="R123" s="6"/>
      <c r="S123" s="101"/>
      <c r="T123" s="112"/>
      <c r="U123" s="112"/>
      <c r="V123" s="112"/>
      <c r="W123" s="113"/>
      <c r="X123" s="6"/>
      <c r="Y123" s="101"/>
      <c r="Z123" s="112"/>
      <c r="AA123" s="112"/>
      <c r="AB123" s="112"/>
      <c r="AC123" s="113"/>
      <c r="AD123" s="6"/>
      <c r="AE123" s="101"/>
      <c r="AF123" s="112"/>
      <c r="AG123" s="112"/>
      <c r="AH123" s="112"/>
      <c r="AI123" s="113"/>
      <c r="AJ123" s="6"/>
      <c r="AK123" s="101"/>
      <c r="AL123" s="112"/>
      <c r="AM123" s="112"/>
      <c r="AN123" s="112"/>
      <c r="AO123" s="113"/>
      <c r="AP123" s="130"/>
    </row>
    <row r="124" spans="1:42" x14ac:dyDescent="0.25">
      <c r="A124" s="101"/>
      <c r="B124" s="112"/>
      <c r="C124" s="112"/>
      <c r="D124" s="112"/>
      <c r="E124" s="113"/>
      <c r="F124" s="128"/>
      <c r="G124" s="101"/>
      <c r="H124" s="112"/>
      <c r="I124" s="112"/>
      <c r="J124" s="112"/>
      <c r="K124" s="113"/>
      <c r="L124" s="130"/>
      <c r="M124" s="101"/>
      <c r="N124" s="112"/>
      <c r="O124" s="112"/>
      <c r="P124" s="112"/>
      <c r="Q124" s="113"/>
      <c r="R124" s="6"/>
      <c r="S124" s="101"/>
      <c r="T124" s="112"/>
      <c r="U124" s="112"/>
      <c r="V124" s="112"/>
      <c r="W124" s="113"/>
      <c r="X124" s="6"/>
      <c r="Y124" s="101"/>
      <c r="Z124" s="112"/>
      <c r="AA124" s="112"/>
      <c r="AB124" s="112"/>
      <c r="AC124" s="113"/>
      <c r="AD124" s="6"/>
      <c r="AE124" s="101"/>
      <c r="AF124" s="112"/>
      <c r="AG124" s="112"/>
      <c r="AH124" s="112"/>
      <c r="AI124" s="113"/>
      <c r="AJ124" s="6"/>
      <c r="AK124" s="101"/>
      <c r="AL124" s="112"/>
      <c r="AM124" s="112"/>
      <c r="AN124" s="112"/>
      <c r="AO124" s="113"/>
      <c r="AP124" s="130"/>
    </row>
    <row r="125" spans="1:42" x14ac:dyDescent="0.25">
      <c r="A125" s="101"/>
      <c r="B125" s="112"/>
      <c r="C125" s="112"/>
      <c r="D125" s="112"/>
      <c r="E125" s="113"/>
      <c r="F125" s="128"/>
      <c r="G125" s="101"/>
      <c r="H125" s="112"/>
      <c r="I125" s="112"/>
      <c r="J125" s="112"/>
      <c r="K125" s="113"/>
      <c r="L125" s="130"/>
      <c r="M125" s="101"/>
      <c r="N125" s="112"/>
      <c r="O125" s="112"/>
      <c r="P125" s="112"/>
      <c r="Q125" s="113"/>
      <c r="R125" s="6"/>
      <c r="S125" s="101"/>
      <c r="T125" s="112"/>
      <c r="U125" s="112"/>
      <c r="V125" s="112"/>
      <c r="W125" s="113"/>
      <c r="X125" s="6"/>
      <c r="Y125" s="101"/>
      <c r="Z125" s="112"/>
      <c r="AA125" s="112"/>
      <c r="AB125" s="112"/>
      <c r="AC125" s="113"/>
      <c r="AD125" s="6"/>
      <c r="AE125" s="101"/>
      <c r="AF125" s="112"/>
      <c r="AG125" s="112"/>
      <c r="AH125" s="112"/>
      <c r="AI125" s="113"/>
      <c r="AJ125" s="6"/>
      <c r="AK125" s="101"/>
      <c r="AL125" s="112"/>
      <c r="AM125" s="112"/>
      <c r="AN125" s="112"/>
      <c r="AO125" s="113"/>
      <c r="AP125" s="130"/>
    </row>
    <row r="126" spans="1:42" x14ac:dyDescent="0.25">
      <c r="A126" s="101"/>
      <c r="B126" s="112"/>
      <c r="C126" s="112"/>
      <c r="D126" s="112"/>
      <c r="E126" s="113"/>
      <c r="F126" s="128"/>
      <c r="G126" s="101"/>
      <c r="H126" s="112"/>
      <c r="I126" s="112"/>
      <c r="J126" s="112"/>
      <c r="K126" s="113"/>
      <c r="L126" s="130"/>
      <c r="M126" s="101"/>
      <c r="N126" s="112"/>
      <c r="O126" s="112"/>
      <c r="P126" s="112"/>
      <c r="Q126" s="113"/>
      <c r="R126" s="6"/>
      <c r="S126" s="101"/>
      <c r="T126" s="112"/>
      <c r="U126" s="112"/>
      <c r="V126" s="112"/>
      <c r="W126" s="113"/>
      <c r="X126" s="6"/>
      <c r="Y126" s="101"/>
      <c r="Z126" s="112"/>
      <c r="AA126" s="112"/>
      <c r="AB126" s="112"/>
      <c r="AC126" s="113"/>
      <c r="AD126" s="6"/>
      <c r="AE126" s="101"/>
      <c r="AF126" s="112"/>
      <c r="AG126" s="112"/>
      <c r="AH126" s="112"/>
      <c r="AI126" s="113"/>
      <c r="AJ126" s="6"/>
      <c r="AK126" s="101"/>
      <c r="AL126" s="112"/>
      <c r="AM126" s="112"/>
      <c r="AN126" s="112"/>
      <c r="AO126" s="113"/>
      <c r="AP126" s="130"/>
    </row>
    <row r="127" spans="1:42" x14ac:dyDescent="0.25">
      <c r="A127" s="101"/>
      <c r="B127" s="112"/>
      <c r="C127" s="112"/>
      <c r="D127" s="112"/>
      <c r="E127" s="113"/>
      <c r="F127" s="128"/>
      <c r="G127" s="101"/>
      <c r="H127" s="112"/>
      <c r="I127" s="112"/>
      <c r="J127" s="112"/>
      <c r="K127" s="113"/>
      <c r="L127" s="130"/>
      <c r="M127" s="101"/>
      <c r="N127" s="112"/>
      <c r="O127" s="112"/>
      <c r="P127" s="112"/>
      <c r="Q127" s="113"/>
      <c r="R127" s="6"/>
      <c r="S127" s="101"/>
      <c r="T127" s="112"/>
      <c r="U127" s="112"/>
      <c r="V127" s="112"/>
      <c r="W127" s="113"/>
      <c r="X127" s="6"/>
      <c r="Y127" s="101"/>
      <c r="Z127" s="112"/>
      <c r="AA127" s="112"/>
      <c r="AB127" s="112"/>
      <c r="AC127" s="113"/>
      <c r="AD127" s="6"/>
      <c r="AE127" s="101"/>
      <c r="AF127" s="112"/>
      <c r="AG127" s="112"/>
      <c r="AH127" s="112"/>
      <c r="AI127" s="113"/>
      <c r="AJ127" s="6"/>
      <c r="AK127" s="101"/>
      <c r="AL127" s="112"/>
      <c r="AM127" s="112"/>
      <c r="AN127" s="112"/>
      <c r="AO127" s="113"/>
      <c r="AP127" s="130"/>
    </row>
    <row r="128" spans="1:42" x14ac:dyDescent="0.25">
      <c r="A128" s="101"/>
      <c r="B128" s="112"/>
      <c r="C128" s="112"/>
      <c r="D128" s="112"/>
      <c r="E128" s="113"/>
      <c r="F128" s="128"/>
      <c r="G128" s="101"/>
      <c r="H128" s="112"/>
      <c r="I128" s="112"/>
      <c r="J128" s="112"/>
      <c r="K128" s="113"/>
      <c r="L128" s="130"/>
      <c r="M128" s="101"/>
      <c r="N128" s="112"/>
      <c r="O128" s="112"/>
      <c r="P128" s="112"/>
      <c r="Q128" s="113"/>
      <c r="R128" s="6"/>
      <c r="S128" s="101"/>
      <c r="T128" s="112"/>
      <c r="U128" s="112"/>
      <c r="V128" s="112"/>
      <c r="W128" s="113"/>
      <c r="X128" s="6"/>
      <c r="Y128" s="101"/>
      <c r="Z128" s="112"/>
      <c r="AA128" s="112"/>
      <c r="AB128" s="112"/>
      <c r="AC128" s="113"/>
      <c r="AD128" s="6"/>
      <c r="AE128" s="101"/>
      <c r="AF128" s="112"/>
      <c r="AG128" s="112"/>
      <c r="AH128" s="112"/>
      <c r="AI128" s="113"/>
      <c r="AJ128" s="6"/>
      <c r="AK128" s="101"/>
      <c r="AL128" s="112"/>
      <c r="AM128" s="112"/>
      <c r="AN128" s="112"/>
      <c r="AO128" s="113"/>
      <c r="AP128" s="130"/>
    </row>
    <row r="129" spans="1:42" x14ac:dyDescent="0.25">
      <c r="A129" s="101"/>
      <c r="B129" s="112"/>
      <c r="C129" s="112"/>
      <c r="D129" s="112"/>
      <c r="E129" s="113"/>
      <c r="F129" s="128"/>
      <c r="G129" s="101"/>
      <c r="H129" s="112"/>
      <c r="I129" s="112"/>
      <c r="J129" s="112"/>
      <c r="K129" s="113"/>
      <c r="L129" s="130"/>
      <c r="M129" s="101"/>
      <c r="N129" s="112"/>
      <c r="O129" s="112"/>
      <c r="P129" s="112"/>
      <c r="Q129" s="113"/>
      <c r="R129" s="6"/>
      <c r="S129" s="101"/>
      <c r="T129" s="112"/>
      <c r="U129" s="112"/>
      <c r="V129" s="112"/>
      <c r="W129" s="113"/>
      <c r="X129" s="6"/>
      <c r="Y129" s="101"/>
      <c r="Z129" s="112"/>
      <c r="AA129" s="112"/>
      <c r="AB129" s="112"/>
      <c r="AC129" s="113"/>
      <c r="AD129" s="6"/>
      <c r="AE129" s="101"/>
      <c r="AF129" s="112"/>
      <c r="AG129" s="112"/>
      <c r="AH129" s="112"/>
      <c r="AI129" s="113"/>
      <c r="AJ129" s="6"/>
      <c r="AK129" s="101"/>
      <c r="AL129" s="112"/>
      <c r="AM129" s="112"/>
      <c r="AN129" s="112"/>
      <c r="AO129" s="113"/>
      <c r="AP129" s="130"/>
    </row>
    <row r="130" spans="1:42" x14ac:dyDescent="0.25">
      <c r="A130" s="101"/>
      <c r="B130" s="112"/>
      <c r="C130" s="112"/>
      <c r="D130" s="112"/>
      <c r="E130" s="113"/>
      <c r="F130" s="128"/>
      <c r="G130" s="101"/>
      <c r="H130" s="112"/>
      <c r="I130" s="112"/>
      <c r="J130" s="112"/>
      <c r="K130" s="113"/>
      <c r="L130" s="130"/>
      <c r="M130" s="101"/>
      <c r="N130" s="112"/>
      <c r="O130" s="112"/>
      <c r="P130" s="112"/>
      <c r="Q130" s="113"/>
      <c r="R130" s="6"/>
      <c r="S130" s="101"/>
      <c r="T130" s="112"/>
      <c r="U130" s="112"/>
      <c r="V130" s="112"/>
      <c r="W130" s="113"/>
      <c r="X130" s="6"/>
      <c r="Y130" s="101"/>
      <c r="Z130" s="112"/>
      <c r="AA130" s="112"/>
      <c r="AB130" s="112"/>
      <c r="AC130" s="113"/>
      <c r="AD130" s="6"/>
      <c r="AE130" s="101"/>
      <c r="AF130" s="112"/>
      <c r="AG130" s="112"/>
      <c r="AH130" s="112"/>
      <c r="AI130" s="113"/>
      <c r="AJ130" s="6"/>
      <c r="AK130" s="101"/>
      <c r="AL130" s="112"/>
      <c r="AM130" s="112"/>
      <c r="AN130" s="112"/>
      <c r="AO130" s="113"/>
      <c r="AP130" s="130"/>
    </row>
    <row r="131" spans="1:42" x14ac:dyDescent="0.25">
      <c r="A131" s="101"/>
      <c r="B131" s="112"/>
      <c r="C131" s="112"/>
      <c r="D131" s="112"/>
      <c r="E131" s="113"/>
      <c r="F131" s="128"/>
      <c r="G131" s="101"/>
      <c r="H131" s="112"/>
      <c r="I131" s="112"/>
      <c r="J131" s="112"/>
      <c r="K131" s="113"/>
      <c r="L131" s="130"/>
      <c r="M131" s="101"/>
      <c r="N131" s="112"/>
      <c r="O131" s="112"/>
      <c r="P131" s="112"/>
      <c r="Q131" s="113"/>
      <c r="R131" s="6"/>
      <c r="S131" s="101"/>
      <c r="T131" s="112"/>
      <c r="U131" s="112"/>
      <c r="V131" s="112"/>
      <c r="W131" s="113"/>
      <c r="X131" s="6"/>
      <c r="Y131" s="101"/>
      <c r="Z131" s="112"/>
      <c r="AA131" s="112"/>
      <c r="AB131" s="112"/>
      <c r="AC131" s="113"/>
      <c r="AD131" s="6"/>
      <c r="AE131" s="101"/>
      <c r="AF131" s="112"/>
      <c r="AG131" s="112"/>
      <c r="AH131" s="112"/>
      <c r="AI131" s="113"/>
      <c r="AJ131" s="6"/>
      <c r="AK131" s="101"/>
      <c r="AL131" s="112"/>
      <c r="AM131" s="112"/>
      <c r="AN131" s="112"/>
      <c r="AO131" s="113"/>
      <c r="AP131" s="130"/>
    </row>
    <row r="132" spans="1:42" x14ac:dyDescent="0.25">
      <c r="A132" s="101"/>
      <c r="B132" s="112"/>
      <c r="C132" s="112"/>
      <c r="D132" s="112"/>
      <c r="E132" s="113"/>
      <c r="F132" s="128"/>
      <c r="G132" s="101"/>
      <c r="H132" s="112"/>
      <c r="I132" s="112"/>
      <c r="J132" s="112"/>
      <c r="K132" s="113"/>
      <c r="L132" s="130"/>
      <c r="M132" s="101"/>
      <c r="N132" s="112"/>
      <c r="O132" s="112"/>
      <c r="P132" s="112"/>
      <c r="Q132" s="113"/>
      <c r="R132" s="6"/>
      <c r="S132" s="101"/>
      <c r="T132" s="112"/>
      <c r="U132" s="112"/>
      <c r="V132" s="112"/>
      <c r="W132" s="113"/>
      <c r="X132" s="6"/>
      <c r="Y132" s="101"/>
      <c r="Z132" s="112"/>
      <c r="AA132" s="112"/>
      <c r="AB132" s="112"/>
      <c r="AC132" s="113"/>
      <c r="AD132" s="6"/>
      <c r="AE132" s="101"/>
      <c r="AF132" s="112"/>
      <c r="AG132" s="112"/>
      <c r="AH132" s="112"/>
      <c r="AI132" s="113"/>
      <c r="AJ132" s="6"/>
      <c r="AK132" s="101"/>
      <c r="AL132" s="112"/>
      <c r="AM132" s="112"/>
      <c r="AN132" s="112"/>
      <c r="AO132" s="113"/>
      <c r="AP132" s="130"/>
    </row>
    <row r="133" spans="1:42" x14ac:dyDescent="0.25">
      <c r="A133" s="101"/>
      <c r="B133" s="112"/>
      <c r="C133" s="112"/>
      <c r="D133" s="112"/>
      <c r="E133" s="113"/>
      <c r="F133" s="128"/>
      <c r="G133" s="101"/>
      <c r="H133" s="112"/>
      <c r="I133" s="112"/>
      <c r="J133" s="112"/>
      <c r="K133" s="113"/>
      <c r="L133" s="130"/>
      <c r="M133" s="101"/>
      <c r="N133" s="112"/>
      <c r="O133" s="112"/>
      <c r="P133" s="112"/>
      <c r="Q133" s="113"/>
      <c r="R133" s="6"/>
      <c r="S133" s="101"/>
      <c r="T133" s="112"/>
      <c r="U133" s="112"/>
      <c r="V133" s="112"/>
      <c r="W133" s="113"/>
      <c r="X133" s="6"/>
      <c r="Y133" s="101"/>
      <c r="Z133" s="112"/>
      <c r="AA133" s="112"/>
      <c r="AB133" s="112"/>
      <c r="AC133" s="113"/>
      <c r="AD133" s="6"/>
      <c r="AE133" s="101"/>
      <c r="AF133" s="112"/>
      <c r="AG133" s="112"/>
      <c r="AH133" s="112"/>
      <c r="AI133" s="113"/>
      <c r="AJ133" s="6"/>
      <c r="AK133" s="101"/>
      <c r="AL133" s="112"/>
      <c r="AM133" s="112"/>
      <c r="AN133" s="112"/>
      <c r="AO133" s="113"/>
      <c r="AP133" s="130"/>
    </row>
    <row r="134" spans="1:42" x14ac:dyDescent="0.25">
      <c r="A134" s="101"/>
      <c r="B134" s="112"/>
      <c r="C134" s="112"/>
      <c r="D134" s="112"/>
      <c r="E134" s="113"/>
      <c r="F134" s="128"/>
      <c r="G134" s="101"/>
      <c r="H134" s="112"/>
      <c r="I134" s="112"/>
      <c r="J134" s="112"/>
      <c r="K134" s="113"/>
      <c r="L134" s="130"/>
      <c r="M134" s="101"/>
      <c r="N134" s="112"/>
      <c r="O134" s="112"/>
      <c r="P134" s="112"/>
      <c r="Q134" s="113"/>
      <c r="R134" s="6"/>
      <c r="S134" s="101"/>
      <c r="T134" s="112"/>
      <c r="U134" s="112"/>
      <c r="V134" s="112"/>
      <c r="W134" s="113"/>
      <c r="X134" s="6"/>
      <c r="Y134" s="101"/>
      <c r="Z134" s="112"/>
      <c r="AA134" s="112"/>
      <c r="AB134" s="112"/>
      <c r="AC134" s="113"/>
      <c r="AD134" s="6"/>
      <c r="AE134" s="101"/>
      <c r="AF134" s="112"/>
      <c r="AG134" s="112"/>
      <c r="AH134" s="112"/>
      <c r="AI134" s="113"/>
      <c r="AJ134" s="6"/>
      <c r="AK134" s="101"/>
      <c r="AL134" s="112"/>
      <c r="AM134" s="112"/>
      <c r="AN134" s="112"/>
      <c r="AO134" s="113"/>
      <c r="AP134" s="130"/>
    </row>
    <row r="135" spans="1:42" x14ac:dyDescent="0.25">
      <c r="A135" s="101"/>
      <c r="B135" s="112"/>
      <c r="C135" s="112"/>
      <c r="D135" s="112"/>
      <c r="E135" s="113"/>
      <c r="F135" s="128"/>
      <c r="G135" s="101"/>
      <c r="H135" s="112"/>
      <c r="I135" s="112"/>
      <c r="J135" s="112"/>
      <c r="K135" s="113"/>
      <c r="L135" s="130"/>
      <c r="M135" s="101"/>
      <c r="N135" s="112"/>
      <c r="O135" s="112"/>
      <c r="P135" s="112"/>
      <c r="Q135" s="113"/>
      <c r="R135" s="6"/>
      <c r="S135" s="101"/>
      <c r="T135" s="112"/>
      <c r="U135" s="112"/>
      <c r="V135" s="112"/>
      <c r="W135" s="113"/>
      <c r="X135" s="6"/>
      <c r="Y135" s="101"/>
      <c r="Z135" s="112"/>
      <c r="AA135" s="112"/>
      <c r="AB135" s="112"/>
      <c r="AC135" s="113"/>
      <c r="AD135" s="6"/>
      <c r="AE135" s="101"/>
      <c r="AF135" s="112"/>
      <c r="AG135" s="112"/>
      <c r="AH135" s="112"/>
      <c r="AI135" s="113"/>
      <c r="AJ135" s="6"/>
      <c r="AK135" s="101"/>
      <c r="AL135" s="112"/>
      <c r="AM135" s="112"/>
      <c r="AN135" s="112"/>
      <c r="AO135" s="113"/>
      <c r="AP135" s="130"/>
    </row>
    <row r="136" spans="1:42" x14ac:dyDescent="0.25">
      <c r="A136" s="101"/>
      <c r="B136" s="112"/>
      <c r="C136" s="112"/>
      <c r="D136" s="112"/>
      <c r="E136" s="113"/>
      <c r="F136" s="128"/>
      <c r="G136" s="101"/>
      <c r="H136" s="112"/>
      <c r="I136" s="112"/>
      <c r="J136" s="112"/>
      <c r="K136" s="113"/>
      <c r="L136" s="130"/>
      <c r="M136" s="101"/>
      <c r="N136" s="112"/>
      <c r="O136" s="112"/>
      <c r="P136" s="112"/>
      <c r="Q136" s="113"/>
      <c r="R136" s="6"/>
      <c r="S136" s="101"/>
      <c r="T136" s="112"/>
      <c r="U136" s="112"/>
      <c r="V136" s="112"/>
      <c r="W136" s="113"/>
      <c r="X136" s="6"/>
      <c r="Y136" s="101"/>
      <c r="Z136" s="112"/>
      <c r="AA136" s="112"/>
      <c r="AB136" s="112"/>
      <c r="AC136" s="113"/>
      <c r="AD136" s="6"/>
      <c r="AE136" s="101"/>
      <c r="AF136" s="112"/>
      <c r="AG136" s="112"/>
      <c r="AH136" s="112"/>
      <c r="AI136" s="113"/>
      <c r="AJ136" s="6"/>
      <c r="AK136" s="101"/>
      <c r="AL136" s="112"/>
      <c r="AM136" s="112"/>
      <c r="AN136" s="112"/>
      <c r="AO136" s="113"/>
      <c r="AP136" s="130"/>
    </row>
    <row r="137" spans="1:42" x14ac:dyDescent="0.25">
      <c r="A137" s="101"/>
      <c r="B137" s="112"/>
      <c r="C137" s="112"/>
      <c r="D137" s="112"/>
      <c r="E137" s="113"/>
      <c r="F137" s="128"/>
      <c r="G137" s="101"/>
      <c r="H137" s="112"/>
      <c r="I137" s="112"/>
      <c r="J137" s="112"/>
      <c r="K137" s="113"/>
      <c r="L137" s="130"/>
      <c r="M137" s="101"/>
      <c r="N137" s="112"/>
      <c r="O137" s="112"/>
      <c r="P137" s="112"/>
      <c r="Q137" s="113"/>
      <c r="R137" s="6"/>
      <c r="S137" s="101"/>
      <c r="T137" s="112"/>
      <c r="U137" s="112"/>
      <c r="V137" s="112"/>
      <c r="W137" s="113"/>
      <c r="X137" s="6"/>
      <c r="Y137" s="101"/>
      <c r="Z137" s="112"/>
      <c r="AA137" s="112"/>
      <c r="AB137" s="112"/>
      <c r="AC137" s="113"/>
      <c r="AD137" s="6"/>
      <c r="AE137" s="101"/>
      <c r="AF137" s="112"/>
      <c r="AG137" s="112"/>
      <c r="AH137" s="112"/>
      <c r="AI137" s="113"/>
      <c r="AJ137" s="6"/>
      <c r="AK137" s="101"/>
      <c r="AL137" s="112"/>
      <c r="AM137" s="112"/>
      <c r="AN137" s="112"/>
      <c r="AO137" s="113"/>
      <c r="AP137" s="130"/>
    </row>
    <row r="138" spans="1:42" x14ac:dyDescent="0.25">
      <c r="A138" s="101"/>
      <c r="B138" s="112"/>
      <c r="C138" s="112"/>
      <c r="D138" s="112"/>
      <c r="E138" s="113"/>
      <c r="F138" s="128"/>
      <c r="G138" s="101"/>
      <c r="H138" s="112"/>
      <c r="I138" s="112"/>
      <c r="J138" s="112"/>
      <c r="K138" s="113"/>
      <c r="L138" s="130"/>
      <c r="M138" s="101"/>
      <c r="N138" s="112"/>
      <c r="O138" s="112"/>
      <c r="P138" s="112"/>
      <c r="Q138" s="113"/>
      <c r="R138" s="6"/>
      <c r="S138" s="101"/>
      <c r="T138" s="112"/>
      <c r="U138" s="112"/>
      <c r="V138" s="112"/>
      <c r="W138" s="113"/>
      <c r="X138" s="6"/>
      <c r="Y138" s="101"/>
      <c r="Z138" s="112"/>
      <c r="AA138" s="112"/>
      <c r="AB138" s="112"/>
      <c r="AC138" s="113"/>
      <c r="AD138" s="6"/>
      <c r="AE138" s="101"/>
      <c r="AF138" s="112"/>
      <c r="AG138" s="112"/>
      <c r="AH138" s="112"/>
      <c r="AI138" s="113"/>
      <c r="AJ138" s="6"/>
      <c r="AK138" s="101"/>
      <c r="AL138" s="112"/>
      <c r="AM138" s="112"/>
      <c r="AN138" s="112"/>
      <c r="AO138" s="113"/>
      <c r="AP138" s="130"/>
    </row>
    <row r="139" spans="1:42" x14ac:dyDescent="0.25">
      <c r="A139" s="101"/>
      <c r="B139" s="112"/>
      <c r="C139" s="112"/>
      <c r="D139" s="112"/>
      <c r="E139" s="113"/>
      <c r="F139" s="128"/>
      <c r="G139" s="101"/>
      <c r="H139" s="112"/>
      <c r="I139" s="112"/>
      <c r="J139" s="112"/>
      <c r="K139" s="113"/>
      <c r="L139" s="130"/>
      <c r="M139" s="101"/>
      <c r="N139" s="112"/>
      <c r="O139" s="112"/>
      <c r="P139" s="112"/>
      <c r="Q139" s="113"/>
      <c r="R139" s="6"/>
      <c r="S139" s="101"/>
      <c r="T139" s="112"/>
      <c r="U139" s="112"/>
      <c r="V139" s="112"/>
      <c r="W139" s="113"/>
      <c r="X139" s="6"/>
      <c r="Y139" s="101"/>
      <c r="Z139" s="112"/>
      <c r="AA139" s="112"/>
      <c r="AB139" s="112"/>
      <c r="AC139" s="113"/>
      <c r="AD139" s="6"/>
      <c r="AE139" s="101"/>
      <c r="AF139" s="112"/>
      <c r="AG139" s="112"/>
      <c r="AH139" s="112"/>
      <c r="AI139" s="113"/>
      <c r="AJ139" s="6"/>
      <c r="AK139" s="101"/>
      <c r="AL139" s="112"/>
      <c r="AM139" s="112"/>
      <c r="AN139" s="112"/>
      <c r="AO139" s="113"/>
      <c r="AP139" s="130"/>
    </row>
    <row r="140" spans="1:42" x14ac:dyDescent="0.25">
      <c r="A140" s="101"/>
      <c r="B140" s="112"/>
      <c r="C140" s="112"/>
      <c r="D140" s="112"/>
      <c r="E140" s="113"/>
      <c r="F140" s="128"/>
      <c r="G140" s="101"/>
      <c r="H140" s="112"/>
      <c r="I140" s="112"/>
      <c r="J140" s="112"/>
      <c r="K140" s="113"/>
      <c r="L140" s="130"/>
      <c r="M140" s="101"/>
      <c r="N140" s="112"/>
      <c r="O140" s="112"/>
      <c r="P140" s="112"/>
      <c r="Q140" s="113"/>
      <c r="R140" s="6"/>
      <c r="S140" s="101"/>
      <c r="T140" s="112"/>
      <c r="U140" s="112"/>
      <c r="V140" s="112"/>
      <c r="W140" s="113"/>
      <c r="X140" s="6"/>
      <c r="Y140" s="101"/>
      <c r="Z140" s="112"/>
      <c r="AA140" s="112"/>
      <c r="AB140" s="112"/>
      <c r="AC140" s="113"/>
      <c r="AD140" s="6"/>
      <c r="AE140" s="101"/>
      <c r="AF140" s="112"/>
      <c r="AG140" s="112"/>
      <c r="AH140" s="112"/>
      <c r="AI140" s="113"/>
      <c r="AJ140" s="6"/>
      <c r="AK140" s="101"/>
      <c r="AL140" s="112"/>
      <c r="AM140" s="112"/>
      <c r="AN140" s="112"/>
      <c r="AO140" s="113"/>
      <c r="AP140" s="130"/>
    </row>
    <row r="141" spans="1:42" x14ac:dyDescent="0.25">
      <c r="A141" s="101"/>
      <c r="B141" s="112"/>
      <c r="C141" s="112"/>
      <c r="D141" s="112"/>
      <c r="E141" s="113"/>
      <c r="F141" s="128"/>
      <c r="G141" s="101"/>
      <c r="H141" s="112"/>
      <c r="I141" s="112"/>
      <c r="J141" s="112"/>
      <c r="K141" s="113"/>
      <c r="L141" s="130"/>
      <c r="M141" s="101"/>
      <c r="N141" s="112"/>
      <c r="O141" s="112"/>
      <c r="P141" s="112"/>
      <c r="Q141" s="113"/>
      <c r="R141" s="6"/>
      <c r="S141" s="101"/>
      <c r="T141" s="112"/>
      <c r="U141" s="112"/>
      <c r="V141" s="112"/>
      <c r="W141" s="113"/>
      <c r="X141" s="6"/>
      <c r="Y141" s="101"/>
      <c r="Z141" s="112"/>
      <c r="AA141" s="112"/>
      <c r="AB141" s="112"/>
      <c r="AC141" s="113"/>
      <c r="AD141" s="6"/>
      <c r="AE141" s="101"/>
      <c r="AF141" s="112"/>
      <c r="AG141" s="112"/>
      <c r="AH141" s="112"/>
      <c r="AI141" s="113"/>
      <c r="AJ141" s="6"/>
      <c r="AK141" s="101"/>
      <c r="AL141" s="112"/>
      <c r="AM141" s="112"/>
      <c r="AN141" s="112"/>
      <c r="AO141" s="113"/>
      <c r="AP141" s="130"/>
    </row>
    <row r="142" spans="1:42" x14ac:dyDescent="0.25">
      <c r="A142" s="101"/>
      <c r="B142" s="112"/>
      <c r="C142" s="112"/>
      <c r="D142" s="112"/>
      <c r="E142" s="113"/>
      <c r="F142" s="128"/>
      <c r="G142" s="101"/>
      <c r="H142" s="112"/>
      <c r="I142" s="112"/>
      <c r="J142" s="112"/>
      <c r="K142" s="113"/>
      <c r="L142" s="130"/>
      <c r="M142" s="101"/>
      <c r="N142" s="112"/>
      <c r="O142" s="112"/>
      <c r="P142" s="112"/>
      <c r="Q142" s="113"/>
      <c r="R142" s="6"/>
      <c r="S142" s="101"/>
      <c r="T142" s="112"/>
      <c r="U142" s="112"/>
      <c r="V142" s="112"/>
      <c r="W142" s="113"/>
      <c r="X142" s="6"/>
      <c r="Y142" s="101"/>
      <c r="Z142" s="112"/>
      <c r="AA142" s="112"/>
      <c r="AB142" s="112"/>
      <c r="AC142" s="113"/>
      <c r="AD142" s="6"/>
      <c r="AE142" s="101"/>
      <c r="AF142" s="112"/>
      <c r="AG142" s="112"/>
      <c r="AH142" s="112"/>
      <c r="AI142" s="113"/>
      <c r="AJ142" s="6"/>
      <c r="AK142" s="101"/>
      <c r="AL142" s="112"/>
      <c r="AM142" s="112"/>
      <c r="AN142" s="112"/>
      <c r="AO142" s="113"/>
      <c r="AP142" s="130"/>
    </row>
    <row r="143" spans="1:42" x14ac:dyDescent="0.25">
      <c r="A143" s="101"/>
      <c r="B143" s="112"/>
      <c r="C143" s="112"/>
      <c r="D143" s="112"/>
      <c r="E143" s="113"/>
      <c r="F143" s="128"/>
      <c r="G143" s="101"/>
      <c r="H143" s="112"/>
      <c r="I143" s="112"/>
      <c r="J143" s="112"/>
      <c r="K143" s="113"/>
      <c r="L143" s="130"/>
      <c r="M143" s="101"/>
      <c r="N143" s="112"/>
      <c r="O143" s="112"/>
      <c r="P143" s="112"/>
      <c r="Q143" s="113"/>
      <c r="R143" s="6"/>
      <c r="S143" s="101"/>
      <c r="T143" s="112"/>
      <c r="U143" s="112"/>
      <c r="V143" s="112"/>
      <c r="W143" s="113"/>
      <c r="X143" s="6"/>
      <c r="Y143" s="101"/>
      <c r="Z143" s="112"/>
      <c r="AA143" s="112"/>
      <c r="AB143" s="112"/>
      <c r="AC143" s="113"/>
      <c r="AD143" s="6"/>
      <c r="AE143" s="101"/>
      <c r="AF143" s="112"/>
      <c r="AG143" s="112"/>
      <c r="AH143" s="112"/>
      <c r="AI143" s="113"/>
      <c r="AJ143" s="6"/>
      <c r="AK143" s="101"/>
      <c r="AL143" s="112"/>
      <c r="AM143" s="112"/>
      <c r="AN143" s="112"/>
      <c r="AO143" s="113"/>
      <c r="AP143" s="130"/>
    </row>
    <row r="144" spans="1:42" x14ac:dyDescent="0.25">
      <c r="A144" s="101"/>
      <c r="B144" s="112"/>
      <c r="C144" s="112"/>
      <c r="D144" s="112"/>
      <c r="E144" s="113"/>
      <c r="F144" s="128"/>
      <c r="G144" s="101"/>
      <c r="H144" s="112"/>
      <c r="I144" s="112"/>
      <c r="J144" s="112"/>
      <c r="K144" s="113"/>
      <c r="L144" s="130"/>
      <c r="M144" s="101"/>
      <c r="N144" s="112"/>
      <c r="O144" s="112"/>
      <c r="P144" s="112"/>
      <c r="Q144" s="113"/>
      <c r="R144" s="6"/>
      <c r="S144" s="101"/>
      <c r="T144" s="112"/>
      <c r="U144" s="112"/>
      <c r="V144" s="112"/>
      <c r="W144" s="113"/>
      <c r="X144" s="6"/>
      <c r="Y144" s="101"/>
      <c r="Z144" s="112"/>
      <c r="AA144" s="112"/>
      <c r="AB144" s="112"/>
      <c r="AC144" s="113"/>
      <c r="AD144" s="6"/>
      <c r="AE144" s="101"/>
      <c r="AF144" s="112"/>
      <c r="AG144" s="112"/>
      <c r="AH144" s="112"/>
      <c r="AI144" s="113"/>
      <c r="AJ144" s="6"/>
      <c r="AK144" s="101"/>
      <c r="AL144" s="112"/>
      <c r="AM144" s="112"/>
      <c r="AN144" s="112"/>
      <c r="AO144" s="113"/>
      <c r="AP144" s="130"/>
    </row>
    <row r="145" spans="1:42" x14ac:dyDescent="0.25">
      <c r="A145" s="101"/>
      <c r="B145" s="112"/>
      <c r="C145" s="112"/>
      <c r="D145" s="112"/>
      <c r="E145" s="113"/>
      <c r="F145" s="128"/>
      <c r="G145" s="101"/>
      <c r="H145" s="112"/>
      <c r="I145" s="112"/>
      <c r="J145" s="112"/>
      <c r="K145" s="113"/>
      <c r="L145" s="130"/>
      <c r="M145" s="101"/>
      <c r="N145" s="112"/>
      <c r="O145" s="112"/>
      <c r="P145" s="112"/>
      <c r="Q145" s="113"/>
      <c r="R145" s="6"/>
      <c r="S145" s="101"/>
      <c r="T145" s="112"/>
      <c r="U145" s="112"/>
      <c r="V145" s="112"/>
      <c r="W145" s="113"/>
      <c r="X145" s="6"/>
      <c r="Y145" s="101"/>
      <c r="Z145" s="112"/>
      <c r="AA145" s="112"/>
      <c r="AB145" s="112"/>
      <c r="AC145" s="113"/>
      <c r="AD145" s="6"/>
      <c r="AE145" s="101"/>
      <c r="AF145" s="112"/>
      <c r="AG145" s="112"/>
      <c r="AH145" s="112"/>
      <c r="AI145" s="113"/>
      <c r="AJ145" s="6"/>
      <c r="AK145" s="101"/>
      <c r="AL145" s="112"/>
      <c r="AM145" s="112"/>
      <c r="AN145" s="112"/>
      <c r="AO145" s="113"/>
      <c r="AP145" s="130"/>
    </row>
    <row r="146" spans="1:42" x14ac:dyDescent="0.25">
      <c r="A146" s="101"/>
      <c r="B146" s="112"/>
      <c r="C146" s="112"/>
      <c r="D146" s="112"/>
      <c r="E146" s="113"/>
      <c r="F146" s="128"/>
      <c r="G146" s="101"/>
      <c r="H146" s="112"/>
      <c r="I146" s="112"/>
      <c r="J146" s="112"/>
      <c r="K146" s="113"/>
      <c r="L146" s="130"/>
      <c r="M146" s="101"/>
      <c r="N146" s="112"/>
      <c r="O146" s="112"/>
      <c r="P146" s="112"/>
      <c r="Q146" s="113"/>
      <c r="R146" s="6"/>
      <c r="S146" s="101"/>
      <c r="T146" s="112"/>
      <c r="U146" s="112"/>
      <c r="V146" s="112"/>
      <c r="W146" s="113"/>
      <c r="X146" s="6"/>
      <c r="Y146" s="101"/>
      <c r="Z146" s="112"/>
      <c r="AA146" s="112"/>
      <c r="AB146" s="112"/>
      <c r="AC146" s="113"/>
      <c r="AD146" s="6"/>
      <c r="AE146" s="101"/>
      <c r="AF146" s="112"/>
      <c r="AG146" s="112"/>
      <c r="AH146" s="112"/>
      <c r="AI146" s="113"/>
      <c r="AJ146" s="6"/>
      <c r="AK146" s="101"/>
      <c r="AL146" s="112"/>
      <c r="AM146" s="112"/>
      <c r="AN146" s="112"/>
      <c r="AO146" s="113"/>
      <c r="AP146" s="130"/>
    </row>
    <row r="147" spans="1:42" x14ac:dyDescent="0.25">
      <c r="A147" s="101"/>
      <c r="B147" s="112"/>
      <c r="C147" s="112"/>
      <c r="D147" s="112"/>
      <c r="E147" s="113"/>
      <c r="F147" s="128"/>
      <c r="G147" s="101"/>
      <c r="H147" s="112"/>
      <c r="I147" s="112"/>
      <c r="J147" s="112"/>
      <c r="K147" s="113"/>
      <c r="L147" s="130"/>
      <c r="M147" s="101"/>
      <c r="N147" s="112"/>
      <c r="O147" s="112"/>
      <c r="P147" s="112"/>
      <c r="Q147" s="113"/>
      <c r="R147" s="6"/>
      <c r="S147" s="101"/>
      <c r="T147" s="112"/>
      <c r="U147" s="112"/>
      <c r="V147" s="112"/>
      <c r="W147" s="113"/>
      <c r="X147" s="6"/>
      <c r="Y147" s="101"/>
      <c r="Z147" s="112"/>
      <c r="AA147" s="112"/>
      <c r="AB147" s="112"/>
      <c r="AC147" s="113"/>
      <c r="AD147" s="6"/>
      <c r="AE147" s="101"/>
      <c r="AF147" s="112"/>
      <c r="AG147" s="112"/>
      <c r="AH147" s="112"/>
      <c r="AI147" s="113"/>
      <c r="AJ147" s="6"/>
      <c r="AK147" s="101"/>
      <c r="AL147" s="112"/>
      <c r="AM147" s="112"/>
      <c r="AN147" s="112"/>
      <c r="AO147" s="113"/>
      <c r="AP147" s="130"/>
    </row>
    <row r="148" spans="1:42" x14ac:dyDescent="0.25">
      <c r="A148" s="101"/>
      <c r="B148" s="112"/>
      <c r="C148" s="112"/>
      <c r="D148" s="112"/>
      <c r="E148" s="113"/>
      <c r="F148" s="128"/>
      <c r="G148" s="101"/>
      <c r="H148" s="112"/>
      <c r="I148" s="112"/>
      <c r="J148" s="112"/>
      <c r="K148" s="113"/>
      <c r="L148" s="130"/>
      <c r="M148" s="101"/>
      <c r="N148" s="112"/>
      <c r="O148" s="112"/>
      <c r="P148" s="112"/>
      <c r="Q148" s="113"/>
      <c r="R148" s="6"/>
      <c r="S148" s="101"/>
      <c r="T148" s="112"/>
      <c r="U148" s="112"/>
      <c r="V148" s="112"/>
      <c r="W148" s="113"/>
      <c r="X148" s="6"/>
      <c r="Y148" s="101"/>
      <c r="Z148" s="112"/>
      <c r="AA148" s="112"/>
      <c r="AB148" s="112"/>
      <c r="AC148" s="113"/>
      <c r="AD148" s="6"/>
      <c r="AE148" s="101"/>
      <c r="AF148" s="112"/>
      <c r="AG148" s="112"/>
      <c r="AH148" s="112"/>
      <c r="AI148" s="113"/>
      <c r="AJ148" s="6"/>
      <c r="AK148" s="101"/>
      <c r="AL148" s="112"/>
      <c r="AM148" s="112"/>
      <c r="AN148" s="112"/>
      <c r="AO148" s="113"/>
      <c r="AP148" s="130"/>
    </row>
    <row r="149" spans="1:42" x14ac:dyDescent="0.25">
      <c r="A149" s="101"/>
      <c r="B149" s="112"/>
      <c r="C149" s="112"/>
      <c r="D149" s="112"/>
      <c r="E149" s="113"/>
      <c r="F149" s="128"/>
      <c r="G149" s="101"/>
      <c r="H149" s="112"/>
      <c r="I149" s="112"/>
      <c r="J149" s="112"/>
      <c r="K149" s="113"/>
      <c r="L149" s="130"/>
      <c r="M149" s="101"/>
      <c r="N149" s="112"/>
      <c r="O149" s="112"/>
      <c r="P149" s="112"/>
      <c r="Q149" s="113"/>
      <c r="R149" s="6"/>
      <c r="S149" s="101"/>
      <c r="T149" s="112"/>
      <c r="U149" s="112"/>
      <c r="V149" s="112"/>
      <c r="W149" s="113"/>
      <c r="X149" s="6"/>
      <c r="Y149" s="101"/>
      <c r="Z149" s="112"/>
      <c r="AA149" s="112"/>
      <c r="AB149" s="112"/>
      <c r="AC149" s="113"/>
      <c r="AD149" s="6"/>
      <c r="AE149" s="101"/>
      <c r="AF149" s="112"/>
      <c r="AG149" s="112"/>
      <c r="AH149" s="112"/>
      <c r="AI149" s="113"/>
      <c r="AJ149" s="6"/>
      <c r="AK149" s="101"/>
      <c r="AL149" s="112"/>
      <c r="AM149" s="112"/>
      <c r="AN149" s="112"/>
      <c r="AO149" s="113"/>
      <c r="AP149" s="130"/>
    </row>
    <row r="150" spans="1:42" x14ac:dyDescent="0.25">
      <c r="A150" s="101"/>
      <c r="B150" s="112"/>
      <c r="C150" s="112"/>
      <c r="D150" s="112"/>
      <c r="E150" s="113"/>
      <c r="F150" s="128"/>
      <c r="G150" s="101"/>
      <c r="H150" s="112"/>
      <c r="I150" s="112"/>
      <c r="J150" s="112"/>
      <c r="K150" s="113"/>
      <c r="L150" s="130"/>
      <c r="M150" s="101"/>
      <c r="N150" s="112"/>
      <c r="O150" s="112"/>
      <c r="P150" s="112"/>
      <c r="Q150" s="113"/>
      <c r="R150" s="6"/>
      <c r="S150" s="101"/>
      <c r="T150" s="112"/>
      <c r="U150" s="112"/>
      <c r="V150" s="112"/>
      <c r="W150" s="113"/>
      <c r="X150" s="6"/>
      <c r="Y150" s="101"/>
      <c r="Z150" s="112"/>
      <c r="AA150" s="112"/>
      <c r="AB150" s="112"/>
      <c r="AC150" s="113"/>
      <c r="AD150" s="6"/>
      <c r="AE150" s="101"/>
      <c r="AF150" s="112"/>
      <c r="AG150" s="112"/>
      <c r="AH150" s="112"/>
      <c r="AI150" s="113"/>
      <c r="AJ150" s="6"/>
      <c r="AK150" s="101"/>
      <c r="AL150" s="112"/>
      <c r="AM150" s="112"/>
      <c r="AN150" s="112"/>
      <c r="AO150" s="113"/>
      <c r="AP150" s="130"/>
    </row>
    <row r="151" spans="1:42" x14ac:dyDescent="0.25">
      <c r="A151" s="101"/>
      <c r="B151" s="112"/>
      <c r="C151" s="112"/>
      <c r="D151" s="112"/>
      <c r="E151" s="113"/>
      <c r="F151" s="128"/>
      <c r="G151" s="101"/>
      <c r="H151" s="112"/>
      <c r="I151" s="112"/>
      <c r="J151" s="112"/>
      <c r="K151" s="113"/>
      <c r="L151" s="130"/>
      <c r="M151" s="101"/>
      <c r="N151" s="112"/>
      <c r="O151" s="112"/>
      <c r="P151" s="112"/>
      <c r="Q151" s="113"/>
      <c r="R151" s="6"/>
      <c r="S151" s="101"/>
      <c r="T151" s="112"/>
      <c r="U151" s="112"/>
      <c r="V151" s="112"/>
      <c r="W151" s="113"/>
      <c r="X151" s="6"/>
      <c r="Y151" s="101"/>
      <c r="Z151" s="112"/>
      <c r="AA151" s="112"/>
      <c r="AB151" s="112"/>
      <c r="AC151" s="113"/>
      <c r="AD151" s="6"/>
      <c r="AE151" s="101"/>
      <c r="AF151" s="112"/>
      <c r="AG151" s="112"/>
      <c r="AH151" s="112"/>
      <c r="AI151" s="113"/>
      <c r="AJ151" s="6"/>
      <c r="AK151" s="101"/>
      <c r="AL151" s="112"/>
      <c r="AM151" s="112"/>
      <c r="AN151" s="112"/>
      <c r="AO151" s="113"/>
      <c r="AP151" s="130"/>
    </row>
    <row r="152" spans="1:42" x14ac:dyDescent="0.25">
      <c r="A152" s="101"/>
      <c r="B152" s="112"/>
      <c r="C152" s="112"/>
      <c r="D152" s="112"/>
      <c r="E152" s="113"/>
      <c r="F152" s="128"/>
      <c r="G152" s="101"/>
      <c r="H152" s="112"/>
      <c r="I152" s="112"/>
      <c r="J152" s="112"/>
      <c r="K152" s="113"/>
      <c r="L152" s="130"/>
      <c r="M152" s="101"/>
      <c r="N152" s="112"/>
      <c r="O152" s="112"/>
      <c r="P152" s="112"/>
      <c r="Q152" s="113"/>
      <c r="R152" s="6"/>
      <c r="S152" s="101"/>
      <c r="T152" s="112"/>
      <c r="U152" s="112"/>
      <c r="V152" s="112"/>
      <c r="W152" s="113"/>
      <c r="X152" s="6"/>
      <c r="Y152" s="101"/>
      <c r="Z152" s="112"/>
      <c r="AA152" s="112"/>
      <c r="AB152" s="112"/>
      <c r="AC152" s="113"/>
      <c r="AD152" s="6"/>
      <c r="AE152" s="101"/>
      <c r="AF152" s="112"/>
      <c r="AG152" s="112"/>
      <c r="AH152" s="112"/>
      <c r="AI152" s="113"/>
      <c r="AJ152" s="6"/>
      <c r="AK152" s="101"/>
      <c r="AL152" s="112"/>
      <c r="AM152" s="112"/>
      <c r="AN152" s="112"/>
      <c r="AO152" s="113"/>
      <c r="AP152" s="130"/>
    </row>
    <row r="153" spans="1:42" x14ac:dyDescent="0.25">
      <c r="A153" s="101"/>
      <c r="B153" s="112"/>
      <c r="C153" s="112"/>
      <c r="D153" s="112"/>
      <c r="E153" s="113"/>
      <c r="F153" s="128"/>
      <c r="G153" s="101"/>
      <c r="H153" s="112"/>
      <c r="I153" s="112"/>
      <c r="J153" s="112"/>
      <c r="K153" s="113"/>
      <c r="L153" s="130"/>
      <c r="M153" s="101"/>
      <c r="N153" s="112"/>
      <c r="O153" s="112"/>
      <c r="P153" s="112"/>
      <c r="Q153" s="113"/>
      <c r="R153" s="6"/>
      <c r="S153" s="101"/>
      <c r="T153" s="112"/>
      <c r="U153" s="112"/>
      <c r="V153" s="112"/>
      <c r="W153" s="113"/>
      <c r="X153" s="6"/>
      <c r="Y153" s="101"/>
      <c r="Z153" s="112"/>
      <c r="AA153" s="112"/>
      <c r="AB153" s="112"/>
      <c r="AC153" s="113"/>
      <c r="AD153" s="6"/>
      <c r="AE153" s="101"/>
      <c r="AF153" s="112"/>
      <c r="AG153" s="112"/>
      <c r="AH153" s="112"/>
      <c r="AI153" s="113"/>
      <c r="AJ153" s="6"/>
      <c r="AK153" s="101"/>
      <c r="AL153" s="112"/>
      <c r="AM153" s="112"/>
      <c r="AN153" s="112"/>
      <c r="AO153" s="113"/>
      <c r="AP153" s="130"/>
    </row>
    <row r="154" spans="1:42" x14ac:dyDescent="0.25">
      <c r="A154" s="101"/>
      <c r="B154" s="112"/>
      <c r="C154" s="112"/>
      <c r="D154" s="112"/>
      <c r="E154" s="113"/>
      <c r="F154" s="128"/>
      <c r="G154" s="101"/>
      <c r="H154" s="112"/>
      <c r="I154" s="112"/>
      <c r="J154" s="112"/>
      <c r="K154" s="113"/>
      <c r="L154" s="130"/>
      <c r="M154" s="101"/>
      <c r="N154" s="112"/>
      <c r="O154" s="112"/>
      <c r="P154" s="112"/>
      <c r="Q154" s="113"/>
      <c r="R154" s="6"/>
      <c r="S154" s="101"/>
      <c r="T154" s="112"/>
      <c r="U154" s="112"/>
      <c r="V154" s="112"/>
      <c r="W154" s="113"/>
      <c r="X154" s="6"/>
      <c r="Y154" s="101"/>
      <c r="Z154" s="112"/>
      <c r="AA154" s="112"/>
      <c r="AB154" s="112"/>
      <c r="AC154" s="113"/>
      <c r="AD154" s="6"/>
      <c r="AE154" s="101"/>
      <c r="AF154" s="112"/>
      <c r="AG154" s="112"/>
      <c r="AH154" s="112"/>
      <c r="AI154" s="113"/>
      <c r="AJ154" s="6"/>
      <c r="AK154" s="101"/>
      <c r="AL154" s="112"/>
      <c r="AM154" s="112"/>
      <c r="AN154" s="112"/>
      <c r="AO154" s="113"/>
      <c r="AP154" s="130"/>
    </row>
    <row r="155" spans="1:42" x14ac:dyDescent="0.25">
      <c r="A155" s="101"/>
      <c r="B155" s="112"/>
      <c r="C155" s="112"/>
      <c r="D155" s="112"/>
      <c r="E155" s="113"/>
      <c r="F155" s="128"/>
      <c r="G155" s="101"/>
      <c r="H155" s="112"/>
      <c r="I155" s="112"/>
      <c r="J155" s="112"/>
      <c r="K155" s="113"/>
      <c r="L155" s="130"/>
      <c r="M155" s="101"/>
      <c r="N155" s="112"/>
      <c r="O155" s="112"/>
      <c r="P155" s="112"/>
      <c r="Q155" s="113"/>
      <c r="R155" s="6"/>
      <c r="S155" s="101"/>
      <c r="T155" s="112"/>
      <c r="U155" s="112"/>
      <c r="V155" s="112"/>
      <c r="W155" s="113"/>
      <c r="X155" s="6"/>
      <c r="Y155" s="101"/>
      <c r="Z155" s="112"/>
      <c r="AA155" s="112"/>
      <c r="AB155" s="112"/>
      <c r="AC155" s="113"/>
      <c r="AD155" s="6"/>
      <c r="AE155" s="101"/>
      <c r="AF155" s="112"/>
      <c r="AG155" s="112"/>
      <c r="AH155" s="112"/>
      <c r="AI155" s="113"/>
      <c r="AJ155" s="6"/>
      <c r="AK155" s="101"/>
      <c r="AL155" s="112"/>
      <c r="AM155" s="112"/>
      <c r="AN155" s="112"/>
      <c r="AO155" s="113"/>
      <c r="AP155" s="130"/>
    </row>
    <row r="156" spans="1:42" x14ac:dyDescent="0.25">
      <c r="A156" s="101"/>
      <c r="B156" s="112"/>
      <c r="C156" s="112"/>
      <c r="D156" s="112"/>
      <c r="E156" s="113"/>
      <c r="F156" s="128"/>
      <c r="G156" s="101"/>
      <c r="H156" s="112"/>
      <c r="I156" s="112"/>
      <c r="J156" s="112"/>
      <c r="K156" s="113"/>
      <c r="L156" s="130"/>
      <c r="M156" s="101"/>
      <c r="N156" s="112"/>
      <c r="O156" s="112"/>
      <c r="P156" s="112"/>
      <c r="Q156" s="113"/>
      <c r="R156" s="6"/>
      <c r="S156" s="101"/>
      <c r="T156" s="112"/>
      <c r="U156" s="112"/>
      <c r="V156" s="112"/>
      <c r="W156" s="113"/>
      <c r="X156" s="6"/>
      <c r="Y156" s="101"/>
      <c r="Z156" s="112"/>
      <c r="AA156" s="112"/>
      <c r="AB156" s="112"/>
      <c r="AC156" s="113"/>
      <c r="AD156" s="6"/>
      <c r="AE156" s="101"/>
      <c r="AF156" s="112"/>
      <c r="AG156" s="112"/>
      <c r="AH156" s="112"/>
      <c r="AI156" s="113"/>
      <c r="AJ156" s="6"/>
      <c r="AK156" s="101"/>
      <c r="AL156" s="112"/>
      <c r="AM156" s="112"/>
      <c r="AN156" s="112"/>
      <c r="AO156" s="113"/>
      <c r="AP156" s="130"/>
    </row>
    <row r="157" spans="1:42" x14ac:dyDescent="0.25">
      <c r="A157" s="101"/>
      <c r="B157" s="112"/>
      <c r="C157" s="112"/>
      <c r="D157" s="112"/>
      <c r="E157" s="113"/>
      <c r="F157" s="128"/>
      <c r="G157" s="101"/>
      <c r="H157" s="112"/>
      <c r="I157" s="112"/>
      <c r="J157" s="112"/>
      <c r="K157" s="113"/>
      <c r="L157" s="130"/>
      <c r="M157" s="101"/>
      <c r="N157" s="112"/>
      <c r="O157" s="112"/>
      <c r="P157" s="112"/>
      <c r="Q157" s="113"/>
      <c r="R157" s="6"/>
      <c r="S157" s="101"/>
      <c r="T157" s="112"/>
      <c r="U157" s="112"/>
      <c r="V157" s="112"/>
      <c r="W157" s="113"/>
      <c r="X157" s="6"/>
      <c r="Y157" s="101"/>
      <c r="Z157" s="112"/>
      <c r="AA157" s="112"/>
      <c r="AB157" s="112"/>
      <c r="AC157" s="113"/>
      <c r="AD157" s="6"/>
      <c r="AE157" s="101"/>
      <c r="AF157" s="112"/>
      <c r="AG157" s="112"/>
      <c r="AH157" s="112"/>
      <c r="AI157" s="113"/>
      <c r="AJ157" s="6"/>
      <c r="AK157" s="101"/>
      <c r="AL157" s="112"/>
      <c r="AM157" s="112"/>
      <c r="AN157" s="112"/>
      <c r="AO157" s="113"/>
      <c r="AP157" s="130"/>
    </row>
    <row r="158" spans="1:42" x14ac:dyDescent="0.25">
      <c r="A158" s="101"/>
      <c r="B158" s="112"/>
      <c r="C158" s="112"/>
      <c r="D158" s="112"/>
      <c r="E158" s="113"/>
      <c r="F158" s="128"/>
      <c r="G158" s="101"/>
      <c r="H158" s="112"/>
      <c r="I158" s="112"/>
      <c r="J158" s="112"/>
      <c r="K158" s="113"/>
      <c r="L158" s="130"/>
      <c r="M158" s="101"/>
      <c r="N158" s="112"/>
      <c r="O158" s="112"/>
      <c r="P158" s="112"/>
      <c r="Q158" s="113"/>
      <c r="R158" s="6"/>
      <c r="S158" s="101"/>
      <c r="T158" s="112"/>
      <c r="U158" s="112"/>
      <c r="V158" s="112"/>
      <c r="W158" s="113"/>
      <c r="X158" s="6"/>
      <c r="Y158" s="101"/>
      <c r="Z158" s="112"/>
      <c r="AA158" s="112"/>
      <c r="AB158" s="112"/>
      <c r="AC158" s="113"/>
      <c r="AD158" s="6"/>
      <c r="AE158" s="101"/>
      <c r="AF158" s="112"/>
      <c r="AG158" s="112"/>
      <c r="AH158" s="112"/>
      <c r="AI158" s="113"/>
      <c r="AJ158" s="6"/>
      <c r="AK158" s="101"/>
      <c r="AL158" s="112"/>
      <c r="AM158" s="112"/>
      <c r="AN158" s="112"/>
      <c r="AO158" s="113"/>
      <c r="AP158" s="130"/>
    </row>
    <row r="159" spans="1:42" x14ac:dyDescent="0.25">
      <c r="A159" s="101"/>
      <c r="B159" s="112"/>
      <c r="C159" s="112"/>
      <c r="D159" s="112"/>
      <c r="E159" s="113"/>
      <c r="F159" s="128"/>
      <c r="G159" s="101"/>
      <c r="H159" s="112"/>
      <c r="I159" s="112"/>
      <c r="J159" s="112"/>
      <c r="K159" s="113"/>
      <c r="L159" s="130"/>
      <c r="M159" s="101"/>
      <c r="N159" s="112"/>
      <c r="O159" s="112"/>
      <c r="P159" s="112"/>
      <c r="Q159" s="113"/>
      <c r="R159" s="6"/>
      <c r="S159" s="101"/>
      <c r="T159" s="112"/>
      <c r="U159" s="112"/>
      <c r="V159" s="112"/>
      <c r="W159" s="113"/>
      <c r="X159" s="6"/>
      <c r="Y159" s="101"/>
      <c r="Z159" s="112"/>
      <c r="AA159" s="112"/>
      <c r="AB159" s="112"/>
      <c r="AC159" s="113"/>
      <c r="AD159" s="6"/>
      <c r="AE159" s="101"/>
      <c r="AF159" s="112"/>
      <c r="AG159" s="112"/>
      <c r="AH159" s="112"/>
      <c r="AI159" s="113"/>
      <c r="AJ159" s="6"/>
      <c r="AK159" s="101"/>
      <c r="AL159" s="112"/>
      <c r="AM159" s="112"/>
      <c r="AN159" s="112"/>
      <c r="AO159" s="113"/>
      <c r="AP159" s="130"/>
    </row>
    <row r="160" spans="1:42" x14ac:dyDescent="0.25">
      <c r="A160" s="101"/>
      <c r="B160" s="112"/>
      <c r="C160" s="112"/>
      <c r="D160" s="112"/>
      <c r="E160" s="113"/>
      <c r="F160" s="128"/>
      <c r="G160" s="101"/>
      <c r="H160" s="112"/>
      <c r="I160" s="112"/>
      <c r="J160" s="112"/>
      <c r="K160" s="113"/>
      <c r="L160" s="130"/>
      <c r="M160" s="101"/>
      <c r="N160" s="112"/>
      <c r="O160" s="112"/>
      <c r="P160" s="112"/>
      <c r="Q160" s="113"/>
      <c r="R160" s="6"/>
      <c r="S160" s="101"/>
      <c r="T160" s="112"/>
      <c r="U160" s="112"/>
      <c r="V160" s="112"/>
      <c r="W160" s="113"/>
      <c r="X160" s="6"/>
      <c r="Y160" s="101"/>
      <c r="Z160" s="112"/>
      <c r="AA160" s="112"/>
      <c r="AB160" s="112"/>
      <c r="AC160" s="113"/>
      <c r="AD160" s="6"/>
      <c r="AE160" s="101"/>
      <c r="AF160" s="112"/>
      <c r="AG160" s="112"/>
      <c r="AH160" s="112"/>
      <c r="AI160" s="113"/>
      <c r="AJ160" s="6"/>
      <c r="AK160" s="101"/>
      <c r="AL160" s="112"/>
      <c r="AM160" s="112"/>
      <c r="AN160" s="112"/>
      <c r="AO160" s="113"/>
      <c r="AP160" s="130"/>
    </row>
    <row r="161" spans="1:42" x14ac:dyDescent="0.25">
      <c r="A161" s="101"/>
      <c r="B161" s="112"/>
      <c r="C161" s="112"/>
      <c r="D161" s="112"/>
      <c r="E161" s="113"/>
      <c r="F161" s="128"/>
      <c r="G161" s="101"/>
      <c r="H161" s="112"/>
      <c r="I161" s="112"/>
      <c r="J161" s="112"/>
      <c r="K161" s="113"/>
      <c r="L161" s="130"/>
      <c r="M161" s="101"/>
      <c r="N161" s="112"/>
      <c r="O161" s="112"/>
      <c r="P161" s="112"/>
      <c r="Q161" s="113"/>
      <c r="R161" s="6"/>
      <c r="S161" s="101"/>
      <c r="T161" s="112"/>
      <c r="U161" s="112"/>
      <c r="V161" s="112"/>
      <c r="W161" s="113"/>
      <c r="X161" s="6"/>
      <c r="Y161" s="101"/>
      <c r="Z161" s="112"/>
      <c r="AA161" s="112"/>
      <c r="AB161" s="112"/>
      <c r="AC161" s="113"/>
      <c r="AD161" s="6"/>
      <c r="AE161" s="101"/>
      <c r="AF161" s="112"/>
      <c r="AG161" s="112"/>
      <c r="AH161" s="112"/>
      <c r="AI161" s="113"/>
      <c r="AJ161" s="6"/>
      <c r="AK161" s="101"/>
      <c r="AL161" s="112"/>
      <c r="AM161" s="112"/>
      <c r="AN161" s="112"/>
      <c r="AO161" s="113"/>
      <c r="AP161" s="130"/>
    </row>
    <row r="162" spans="1:42" x14ac:dyDescent="0.25">
      <c r="A162" s="101"/>
      <c r="B162" s="112"/>
      <c r="C162" s="112"/>
      <c r="D162" s="112"/>
      <c r="E162" s="113"/>
      <c r="F162" s="128"/>
      <c r="G162" s="101"/>
      <c r="H162" s="112"/>
      <c r="I162" s="112"/>
      <c r="J162" s="112"/>
      <c r="K162" s="113"/>
      <c r="L162" s="130"/>
      <c r="M162" s="101"/>
      <c r="N162" s="112"/>
      <c r="O162" s="112"/>
      <c r="P162" s="112"/>
      <c r="Q162" s="113"/>
      <c r="R162" s="6"/>
      <c r="S162" s="101"/>
      <c r="T162" s="112"/>
      <c r="U162" s="112"/>
      <c r="V162" s="112"/>
      <c r="W162" s="113"/>
      <c r="X162" s="6"/>
      <c r="Y162" s="101"/>
      <c r="Z162" s="112"/>
      <c r="AA162" s="112"/>
      <c r="AB162" s="112"/>
      <c r="AC162" s="113"/>
      <c r="AD162" s="6"/>
      <c r="AE162" s="101"/>
      <c r="AF162" s="112"/>
      <c r="AG162" s="112"/>
      <c r="AH162" s="112"/>
      <c r="AI162" s="113"/>
      <c r="AJ162" s="6"/>
      <c r="AK162" s="101"/>
      <c r="AL162" s="112"/>
      <c r="AM162" s="112"/>
      <c r="AN162" s="112"/>
      <c r="AO162" s="113"/>
      <c r="AP162" s="130"/>
    </row>
    <row r="163" spans="1:42" x14ac:dyDescent="0.25">
      <c r="A163" s="101"/>
      <c r="B163" s="112"/>
      <c r="C163" s="112"/>
      <c r="D163" s="112"/>
      <c r="E163" s="113"/>
      <c r="F163" s="128"/>
      <c r="G163" s="101"/>
      <c r="H163" s="112"/>
      <c r="I163" s="112"/>
      <c r="J163" s="112"/>
      <c r="K163" s="113"/>
      <c r="L163" s="130"/>
      <c r="M163" s="101"/>
      <c r="N163" s="112"/>
      <c r="O163" s="112"/>
      <c r="P163" s="112"/>
      <c r="Q163" s="113"/>
      <c r="R163" s="6"/>
      <c r="S163" s="101"/>
      <c r="T163" s="112"/>
      <c r="U163" s="112"/>
      <c r="V163" s="112"/>
      <c r="W163" s="113"/>
      <c r="X163" s="6"/>
      <c r="Y163" s="101"/>
      <c r="Z163" s="112"/>
      <c r="AA163" s="112"/>
      <c r="AB163" s="112"/>
      <c r="AC163" s="113"/>
      <c r="AD163" s="6"/>
      <c r="AE163" s="101"/>
      <c r="AF163" s="112"/>
      <c r="AG163" s="112"/>
      <c r="AH163" s="112"/>
      <c r="AI163" s="113"/>
      <c r="AJ163" s="6"/>
      <c r="AK163" s="101"/>
      <c r="AL163" s="112"/>
      <c r="AM163" s="112"/>
      <c r="AN163" s="112"/>
      <c r="AO163" s="113"/>
      <c r="AP163" s="130"/>
    </row>
    <row r="164" spans="1:42" x14ac:dyDescent="0.25">
      <c r="A164" s="101"/>
      <c r="B164" s="112"/>
      <c r="C164" s="112"/>
      <c r="D164" s="112"/>
      <c r="E164" s="113"/>
      <c r="F164" s="128"/>
      <c r="G164" s="101"/>
      <c r="H164" s="112"/>
      <c r="I164" s="112"/>
      <c r="J164" s="112"/>
      <c r="K164" s="113"/>
      <c r="L164" s="130"/>
      <c r="M164" s="101"/>
      <c r="N164" s="112"/>
      <c r="O164" s="112"/>
      <c r="P164" s="112"/>
      <c r="Q164" s="113"/>
      <c r="R164" s="6"/>
      <c r="S164" s="101"/>
      <c r="T164" s="112"/>
      <c r="U164" s="112"/>
      <c r="V164" s="112"/>
      <c r="W164" s="113"/>
      <c r="X164" s="6"/>
      <c r="Y164" s="101"/>
      <c r="Z164" s="112"/>
      <c r="AA164" s="112"/>
      <c r="AB164" s="112"/>
      <c r="AC164" s="113"/>
      <c r="AD164" s="6"/>
      <c r="AE164" s="101"/>
      <c r="AF164" s="112"/>
      <c r="AG164" s="112"/>
      <c r="AH164" s="112"/>
      <c r="AI164" s="113"/>
      <c r="AJ164" s="6"/>
      <c r="AK164" s="101"/>
      <c r="AL164" s="112"/>
      <c r="AM164" s="112"/>
      <c r="AN164" s="112"/>
      <c r="AO164" s="113"/>
      <c r="AP164" s="130"/>
    </row>
    <row r="165" spans="1:42" x14ac:dyDescent="0.25">
      <c r="A165" s="101"/>
      <c r="B165" s="112"/>
      <c r="C165" s="112"/>
      <c r="D165" s="112"/>
      <c r="E165" s="113"/>
      <c r="F165" s="128"/>
      <c r="G165" s="101"/>
      <c r="H165" s="112"/>
      <c r="I165" s="112"/>
      <c r="J165" s="112"/>
      <c r="K165" s="113"/>
      <c r="L165" s="130"/>
      <c r="M165" s="101"/>
      <c r="N165" s="112"/>
      <c r="O165" s="112"/>
      <c r="P165" s="112"/>
      <c r="Q165" s="113"/>
      <c r="R165" s="6"/>
      <c r="S165" s="101"/>
      <c r="T165" s="112"/>
      <c r="U165" s="112"/>
      <c r="V165" s="112"/>
      <c r="W165" s="113"/>
      <c r="X165" s="6"/>
      <c r="Y165" s="101"/>
      <c r="Z165" s="112"/>
      <c r="AA165" s="112"/>
      <c r="AB165" s="112"/>
      <c r="AC165" s="113"/>
      <c r="AD165" s="6"/>
      <c r="AE165" s="101"/>
      <c r="AF165" s="112"/>
      <c r="AG165" s="112"/>
      <c r="AH165" s="112"/>
      <c r="AI165" s="113"/>
      <c r="AJ165" s="6"/>
      <c r="AK165" s="101"/>
      <c r="AL165" s="112"/>
      <c r="AM165" s="112"/>
      <c r="AN165" s="112"/>
      <c r="AO165" s="113"/>
      <c r="AP165" s="130"/>
    </row>
    <row r="166" spans="1:42" x14ac:dyDescent="0.25">
      <c r="A166" s="101"/>
      <c r="B166" s="112"/>
      <c r="C166" s="112"/>
      <c r="D166" s="112"/>
      <c r="E166" s="113"/>
      <c r="F166" s="128"/>
      <c r="G166" s="101"/>
      <c r="H166" s="112"/>
      <c r="I166" s="112"/>
      <c r="J166" s="112"/>
      <c r="K166" s="113"/>
      <c r="L166" s="130"/>
      <c r="M166" s="101"/>
      <c r="N166" s="112"/>
      <c r="O166" s="112"/>
      <c r="P166" s="112"/>
      <c r="Q166" s="113"/>
      <c r="R166" s="6"/>
      <c r="S166" s="101"/>
      <c r="T166" s="112"/>
      <c r="U166" s="112"/>
      <c r="V166" s="112"/>
      <c r="W166" s="113"/>
      <c r="X166" s="6"/>
      <c r="Y166" s="101"/>
      <c r="Z166" s="112"/>
      <c r="AA166" s="112"/>
      <c r="AB166" s="112"/>
      <c r="AC166" s="113"/>
      <c r="AD166" s="6"/>
      <c r="AE166" s="101"/>
      <c r="AF166" s="112"/>
      <c r="AG166" s="112"/>
      <c r="AH166" s="112"/>
      <c r="AI166" s="113"/>
      <c r="AJ166" s="6"/>
      <c r="AK166" s="101"/>
      <c r="AL166" s="112"/>
      <c r="AM166" s="112"/>
      <c r="AN166" s="112"/>
      <c r="AO166" s="113"/>
      <c r="AP166" s="130"/>
    </row>
    <row r="167" spans="1:42" x14ac:dyDescent="0.25">
      <c r="A167" s="101"/>
      <c r="B167" s="112"/>
      <c r="C167" s="112"/>
      <c r="D167" s="112"/>
      <c r="E167" s="113"/>
      <c r="F167" s="128"/>
      <c r="G167" s="101"/>
      <c r="H167" s="112"/>
      <c r="I167" s="112"/>
      <c r="J167" s="112"/>
      <c r="K167" s="113"/>
      <c r="L167" s="130"/>
      <c r="M167" s="101"/>
      <c r="N167" s="112"/>
      <c r="O167" s="112"/>
      <c r="P167" s="112"/>
      <c r="Q167" s="113"/>
      <c r="R167" s="6"/>
      <c r="S167" s="101"/>
      <c r="T167" s="112"/>
      <c r="U167" s="112"/>
      <c r="V167" s="112"/>
      <c r="W167" s="113"/>
      <c r="X167" s="6"/>
      <c r="Y167" s="101"/>
      <c r="Z167" s="112"/>
      <c r="AA167" s="112"/>
      <c r="AB167" s="112"/>
      <c r="AC167" s="113"/>
      <c r="AD167" s="6"/>
      <c r="AE167" s="101"/>
      <c r="AF167" s="112"/>
      <c r="AG167" s="112"/>
      <c r="AH167" s="112"/>
      <c r="AI167" s="113"/>
      <c r="AJ167" s="6"/>
      <c r="AK167" s="101"/>
      <c r="AL167" s="112"/>
      <c r="AM167" s="112"/>
      <c r="AN167" s="112"/>
      <c r="AO167" s="113"/>
      <c r="AP167" s="130"/>
    </row>
    <row r="168" spans="1:42" x14ac:dyDescent="0.25">
      <c r="A168" s="101"/>
      <c r="B168" s="112"/>
      <c r="C168" s="112"/>
      <c r="D168" s="112"/>
      <c r="E168" s="113"/>
      <c r="F168" s="128"/>
      <c r="G168" s="101"/>
      <c r="H168" s="112"/>
      <c r="I168" s="112"/>
      <c r="J168" s="112"/>
      <c r="K168" s="113"/>
      <c r="L168" s="130"/>
      <c r="M168" s="101"/>
      <c r="N168" s="112"/>
      <c r="O168" s="112"/>
      <c r="P168" s="112"/>
      <c r="Q168" s="113"/>
      <c r="R168" s="6"/>
      <c r="S168" s="101"/>
      <c r="T168" s="112"/>
      <c r="U168" s="112"/>
      <c r="V168" s="112"/>
      <c r="W168" s="113"/>
      <c r="X168" s="6"/>
      <c r="Y168" s="101"/>
      <c r="Z168" s="112"/>
      <c r="AA168" s="112"/>
      <c r="AB168" s="112"/>
      <c r="AC168" s="113"/>
      <c r="AD168" s="6"/>
      <c r="AE168" s="101"/>
      <c r="AF168" s="112"/>
      <c r="AG168" s="112"/>
      <c r="AH168" s="112"/>
      <c r="AI168" s="113"/>
      <c r="AJ168" s="6"/>
      <c r="AK168" s="101"/>
      <c r="AL168" s="112"/>
      <c r="AM168" s="112"/>
      <c r="AN168" s="112"/>
      <c r="AO168" s="113"/>
      <c r="AP168" s="130"/>
    </row>
    <row r="169" spans="1:42" x14ac:dyDescent="0.25">
      <c r="A169" s="101"/>
      <c r="B169" s="112"/>
      <c r="C169" s="112"/>
      <c r="D169" s="112"/>
      <c r="E169" s="113"/>
      <c r="F169" s="128"/>
      <c r="G169" s="101"/>
      <c r="H169" s="112"/>
      <c r="I169" s="112"/>
      <c r="J169" s="112"/>
      <c r="K169" s="113"/>
      <c r="L169" s="130"/>
      <c r="M169" s="101"/>
      <c r="N169" s="112"/>
      <c r="O169" s="112"/>
      <c r="P169" s="112"/>
      <c r="Q169" s="113"/>
      <c r="R169" s="6"/>
      <c r="S169" s="101"/>
      <c r="T169" s="112"/>
      <c r="U169" s="112"/>
      <c r="V169" s="112"/>
      <c r="W169" s="113"/>
      <c r="X169" s="6"/>
      <c r="Y169" s="101"/>
      <c r="Z169" s="112"/>
      <c r="AA169" s="112"/>
      <c r="AB169" s="112"/>
      <c r="AC169" s="113"/>
      <c r="AD169" s="6"/>
      <c r="AE169" s="101"/>
      <c r="AF169" s="112"/>
      <c r="AG169" s="112"/>
      <c r="AH169" s="112"/>
      <c r="AI169" s="113"/>
      <c r="AJ169" s="6"/>
      <c r="AK169" s="101"/>
      <c r="AL169" s="112"/>
      <c r="AM169" s="112"/>
      <c r="AN169" s="112"/>
      <c r="AO169" s="113"/>
      <c r="AP169" s="130"/>
    </row>
    <row r="170" spans="1:42" x14ac:dyDescent="0.25">
      <c r="A170" s="101"/>
      <c r="B170" s="112"/>
      <c r="C170" s="112"/>
      <c r="D170" s="112"/>
      <c r="E170" s="113"/>
      <c r="F170" s="128"/>
      <c r="G170" s="101"/>
      <c r="H170" s="112"/>
      <c r="I170" s="112"/>
      <c r="J170" s="112"/>
      <c r="K170" s="113"/>
      <c r="L170" s="130"/>
      <c r="M170" s="101"/>
      <c r="N170" s="112"/>
      <c r="O170" s="112"/>
      <c r="P170" s="112"/>
      <c r="Q170" s="113"/>
      <c r="R170" s="6"/>
      <c r="S170" s="101"/>
      <c r="T170" s="112"/>
      <c r="U170" s="112"/>
      <c r="V170" s="112"/>
      <c r="W170" s="113"/>
      <c r="X170" s="6"/>
      <c r="Y170" s="101"/>
      <c r="Z170" s="112"/>
      <c r="AA170" s="112"/>
      <c r="AB170" s="112"/>
      <c r="AC170" s="113"/>
      <c r="AD170" s="6"/>
      <c r="AE170" s="101"/>
      <c r="AF170" s="112"/>
      <c r="AG170" s="112"/>
      <c r="AH170" s="112"/>
      <c r="AI170" s="113"/>
      <c r="AJ170" s="6"/>
      <c r="AK170" s="101"/>
      <c r="AL170" s="112"/>
      <c r="AM170" s="112"/>
      <c r="AN170" s="112"/>
      <c r="AO170" s="113"/>
      <c r="AP170" s="130"/>
    </row>
    <row r="171" spans="1:42" x14ac:dyDescent="0.25">
      <c r="A171" s="101"/>
      <c r="B171" s="112"/>
      <c r="C171" s="112"/>
      <c r="D171" s="112"/>
      <c r="E171" s="113"/>
      <c r="F171" s="128"/>
      <c r="G171" s="101"/>
      <c r="H171" s="112"/>
      <c r="I171" s="112"/>
      <c r="J171" s="112"/>
      <c r="K171" s="113"/>
      <c r="L171" s="130"/>
      <c r="M171" s="101"/>
      <c r="N171" s="112"/>
      <c r="O171" s="112"/>
      <c r="P171" s="112"/>
      <c r="Q171" s="113"/>
      <c r="R171" s="6"/>
      <c r="S171" s="101"/>
      <c r="T171" s="112"/>
      <c r="U171" s="112"/>
      <c r="V171" s="112"/>
      <c r="W171" s="113"/>
      <c r="X171" s="6"/>
      <c r="Y171" s="101"/>
      <c r="Z171" s="112"/>
      <c r="AA171" s="112"/>
      <c r="AB171" s="112"/>
      <c r="AC171" s="113"/>
      <c r="AD171" s="6"/>
      <c r="AE171" s="101"/>
      <c r="AF171" s="112"/>
      <c r="AG171" s="112"/>
      <c r="AH171" s="112"/>
      <c r="AI171" s="113"/>
      <c r="AJ171" s="6"/>
      <c r="AK171" s="101"/>
      <c r="AL171" s="112"/>
      <c r="AM171" s="112"/>
      <c r="AN171" s="112"/>
      <c r="AO171" s="113"/>
      <c r="AP171" s="130"/>
    </row>
    <row r="172" spans="1:42" x14ac:dyDescent="0.25">
      <c r="A172" s="101"/>
      <c r="B172" s="112"/>
      <c r="C172" s="112"/>
      <c r="D172" s="112"/>
      <c r="E172" s="113"/>
      <c r="F172" s="128"/>
      <c r="G172" s="101"/>
      <c r="H172" s="112"/>
      <c r="I172" s="112"/>
      <c r="J172" s="112"/>
      <c r="K172" s="113"/>
      <c r="L172" s="130"/>
      <c r="M172" s="101"/>
      <c r="N172" s="112"/>
      <c r="O172" s="112"/>
      <c r="P172" s="112"/>
      <c r="Q172" s="113"/>
      <c r="R172" s="6"/>
      <c r="S172" s="101"/>
      <c r="T172" s="112"/>
      <c r="U172" s="112"/>
      <c r="V172" s="112"/>
      <c r="W172" s="113"/>
      <c r="X172" s="6"/>
      <c r="Y172" s="101"/>
      <c r="Z172" s="112"/>
      <c r="AA172" s="112"/>
      <c r="AB172" s="112"/>
      <c r="AC172" s="113"/>
      <c r="AD172" s="6"/>
      <c r="AE172" s="101"/>
      <c r="AF172" s="112"/>
      <c r="AG172" s="112"/>
      <c r="AH172" s="112"/>
      <c r="AI172" s="113"/>
      <c r="AJ172" s="6"/>
      <c r="AK172" s="101"/>
      <c r="AL172" s="112"/>
      <c r="AM172" s="112"/>
      <c r="AN172" s="112"/>
      <c r="AO172" s="113"/>
      <c r="AP172" s="130"/>
    </row>
    <row r="173" spans="1:42" x14ac:dyDescent="0.25">
      <c r="A173" s="101"/>
      <c r="B173" s="112"/>
      <c r="C173" s="112"/>
      <c r="D173" s="112"/>
      <c r="E173" s="113"/>
      <c r="F173" s="128"/>
      <c r="G173" s="101"/>
      <c r="H173" s="112"/>
      <c r="I173" s="112"/>
      <c r="J173" s="112"/>
      <c r="K173" s="113"/>
      <c r="L173" s="130"/>
      <c r="M173" s="101"/>
      <c r="N173" s="112"/>
      <c r="O173" s="112"/>
      <c r="P173" s="112"/>
      <c r="Q173" s="113"/>
      <c r="R173" s="6"/>
      <c r="S173" s="101"/>
      <c r="T173" s="112"/>
      <c r="U173" s="112"/>
      <c r="V173" s="112"/>
      <c r="W173" s="113"/>
      <c r="X173" s="6"/>
      <c r="Y173" s="101"/>
      <c r="Z173" s="112"/>
      <c r="AA173" s="112"/>
      <c r="AB173" s="112"/>
      <c r="AC173" s="113"/>
      <c r="AD173" s="6"/>
      <c r="AE173" s="101"/>
      <c r="AF173" s="112"/>
      <c r="AG173" s="112"/>
      <c r="AH173" s="112"/>
      <c r="AI173" s="113"/>
      <c r="AJ173" s="6"/>
      <c r="AK173" s="101"/>
      <c r="AL173" s="112"/>
      <c r="AM173" s="112"/>
      <c r="AN173" s="112"/>
      <c r="AO173" s="113"/>
      <c r="AP173" s="130"/>
    </row>
    <row r="174" spans="1:42" x14ac:dyDescent="0.25">
      <c r="A174" s="101"/>
      <c r="B174" s="112"/>
      <c r="C174" s="112"/>
      <c r="D174" s="112"/>
      <c r="E174" s="113"/>
      <c r="F174" s="128"/>
      <c r="G174" s="101"/>
      <c r="H174" s="112"/>
      <c r="I174" s="112"/>
      <c r="J174" s="112"/>
      <c r="K174" s="113"/>
      <c r="L174" s="130"/>
      <c r="M174" s="101"/>
      <c r="N174" s="112"/>
      <c r="O174" s="112"/>
      <c r="P174" s="112"/>
      <c r="Q174" s="113"/>
      <c r="R174" s="6"/>
      <c r="S174" s="101"/>
      <c r="T174" s="112"/>
      <c r="U174" s="112"/>
      <c r="V174" s="112"/>
      <c r="W174" s="113"/>
      <c r="X174" s="6"/>
      <c r="Y174" s="101"/>
      <c r="Z174" s="112"/>
      <c r="AA174" s="112"/>
      <c r="AB174" s="112"/>
      <c r="AC174" s="113"/>
      <c r="AD174" s="6"/>
      <c r="AE174" s="101"/>
      <c r="AF174" s="112"/>
      <c r="AG174" s="112"/>
      <c r="AH174" s="112"/>
      <c r="AI174" s="113"/>
      <c r="AJ174" s="6"/>
      <c r="AK174" s="101"/>
      <c r="AL174" s="112"/>
      <c r="AM174" s="112"/>
      <c r="AN174" s="112"/>
      <c r="AO174" s="113"/>
      <c r="AP174" s="130"/>
    </row>
    <row r="175" spans="1:42" x14ac:dyDescent="0.25">
      <c r="A175" s="101"/>
      <c r="B175" s="112"/>
      <c r="C175" s="112"/>
      <c r="D175" s="112"/>
      <c r="E175" s="113"/>
      <c r="F175" s="128"/>
      <c r="G175" s="101"/>
      <c r="H175" s="112"/>
      <c r="I175" s="112"/>
      <c r="J175" s="112"/>
      <c r="K175" s="113"/>
      <c r="L175" s="130"/>
      <c r="M175" s="101"/>
      <c r="N175" s="112"/>
      <c r="O175" s="112"/>
      <c r="P175" s="112"/>
      <c r="Q175" s="113"/>
      <c r="R175" s="6"/>
      <c r="S175" s="101"/>
      <c r="T175" s="112"/>
      <c r="U175" s="112"/>
      <c r="V175" s="112"/>
      <c r="W175" s="113"/>
      <c r="X175" s="6"/>
      <c r="Y175" s="101"/>
      <c r="Z175" s="112"/>
      <c r="AA175" s="112"/>
      <c r="AB175" s="112"/>
      <c r="AC175" s="113"/>
      <c r="AD175" s="6"/>
      <c r="AE175" s="101"/>
      <c r="AF175" s="112"/>
      <c r="AG175" s="112"/>
      <c r="AH175" s="112"/>
      <c r="AI175" s="113"/>
      <c r="AJ175" s="6"/>
      <c r="AK175" s="101"/>
      <c r="AL175" s="112"/>
      <c r="AM175" s="112"/>
      <c r="AN175" s="112"/>
      <c r="AO175" s="113"/>
      <c r="AP175" s="130"/>
    </row>
    <row r="176" spans="1:42" x14ac:dyDescent="0.25">
      <c r="A176" s="101"/>
      <c r="B176" s="112"/>
      <c r="C176" s="112"/>
      <c r="D176" s="112"/>
      <c r="E176" s="113"/>
      <c r="F176" s="128"/>
      <c r="G176" s="101"/>
      <c r="H176" s="112"/>
      <c r="I176" s="112"/>
      <c r="J176" s="112"/>
      <c r="K176" s="113"/>
      <c r="L176" s="130"/>
      <c r="M176" s="101"/>
      <c r="N176" s="112"/>
      <c r="O176" s="112"/>
      <c r="P176" s="112"/>
      <c r="Q176" s="113"/>
      <c r="R176" s="6"/>
      <c r="S176" s="101"/>
      <c r="T176" s="112"/>
      <c r="U176" s="112"/>
      <c r="V176" s="112"/>
      <c r="W176" s="113"/>
      <c r="X176" s="6"/>
      <c r="Y176" s="101"/>
      <c r="Z176" s="112"/>
      <c r="AA176" s="112"/>
      <c r="AB176" s="112"/>
      <c r="AC176" s="113"/>
      <c r="AD176" s="6"/>
      <c r="AE176" s="101"/>
      <c r="AF176" s="112"/>
      <c r="AG176" s="112"/>
      <c r="AH176" s="112"/>
      <c r="AI176" s="113"/>
      <c r="AJ176" s="6"/>
      <c r="AK176" s="101"/>
      <c r="AL176" s="112"/>
      <c r="AM176" s="112"/>
      <c r="AN176" s="112"/>
      <c r="AO176" s="113"/>
      <c r="AP176" s="130"/>
    </row>
    <row r="177" spans="1:42" x14ac:dyDescent="0.25">
      <c r="A177" s="101"/>
      <c r="B177" s="112"/>
      <c r="C177" s="112"/>
      <c r="D177" s="112"/>
      <c r="E177" s="113"/>
      <c r="F177" s="128"/>
      <c r="G177" s="101"/>
      <c r="H177" s="112"/>
      <c r="I177" s="112"/>
      <c r="J177" s="112"/>
      <c r="K177" s="113"/>
      <c r="L177" s="130"/>
      <c r="M177" s="101"/>
      <c r="N177" s="112"/>
      <c r="O177" s="112"/>
      <c r="P177" s="112"/>
      <c r="Q177" s="113"/>
      <c r="R177" s="6"/>
      <c r="S177" s="101"/>
      <c r="T177" s="112"/>
      <c r="U177" s="112"/>
      <c r="V177" s="112"/>
      <c r="W177" s="113"/>
      <c r="X177" s="6"/>
      <c r="Y177" s="101"/>
      <c r="Z177" s="112"/>
      <c r="AA177" s="112"/>
      <c r="AB177" s="112"/>
      <c r="AC177" s="113"/>
      <c r="AD177" s="6"/>
      <c r="AE177" s="101"/>
      <c r="AF177" s="112"/>
      <c r="AG177" s="112"/>
      <c r="AH177" s="112"/>
      <c r="AI177" s="113"/>
      <c r="AJ177" s="6"/>
      <c r="AK177" s="101"/>
      <c r="AL177" s="112"/>
      <c r="AM177" s="112"/>
      <c r="AN177" s="112"/>
      <c r="AO177" s="113"/>
      <c r="AP177" s="130"/>
    </row>
    <row r="178" spans="1:42" x14ac:dyDescent="0.25">
      <c r="A178" s="101"/>
      <c r="B178" s="112"/>
      <c r="C178" s="112"/>
      <c r="D178" s="112"/>
      <c r="E178" s="113"/>
      <c r="F178" s="128"/>
      <c r="G178" s="101"/>
      <c r="H178" s="112"/>
      <c r="I178" s="112"/>
      <c r="J178" s="112"/>
      <c r="K178" s="113"/>
      <c r="L178" s="130"/>
      <c r="M178" s="101"/>
      <c r="N178" s="112"/>
      <c r="O178" s="112"/>
      <c r="P178" s="112"/>
      <c r="Q178" s="113"/>
      <c r="R178" s="6"/>
      <c r="S178" s="101"/>
      <c r="T178" s="112"/>
      <c r="U178" s="112"/>
      <c r="V178" s="112"/>
      <c r="W178" s="113"/>
      <c r="X178" s="6"/>
      <c r="Y178" s="101"/>
      <c r="Z178" s="112"/>
      <c r="AA178" s="112"/>
      <c r="AB178" s="112"/>
      <c r="AC178" s="113"/>
      <c r="AD178" s="6"/>
      <c r="AE178" s="101"/>
      <c r="AF178" s="112"/>
      <c r="AG178" s="112"/>
      <c r="AH178" s="112"/>
      <c r="AI178" s="113"/>
      <c r="AJ178" s="6"/>
      <c r="AK178" s="101"/>
      <c r="AL178" s="112"/>
      <c r="AM178" s="112"/>
      <c r="AN178" s="112"/>
      <c r="AO178" s="113"/>
      <c r="AP178" s="130"/>
    </row>
    <row r="179" spans="1:42" x14ac:dyDescent="0.25">
      <c r="A179" s="101"/>
      <c r="B179" s="112"/>
      <c r="C179" s="112"/>
      <c r="D179" s="112"/>
      <c r="E179" s="113"/>
      <c r="F179" s="128"/>
      <c r="G179" s="101"/>
      <c r="H179" s="112"/>
      <c r="I179" s="112"/>
      <c r="J179" s="112"/>
      <c r="K179" s="113"/>
      <c r="L179" s="130"/>
      <c r="M179" s="101"/>
      <c r="N179" s="112"/>
      <c r="O179" s="112"/>
      <c r="P179" s="112"/>
      <c r="Q179" s="113"/>
      <c r="R179" s="6"/>
      <c r="S179" s="101"/>
      <c r="T179" s="112"/>
      <c r="U179" s="112"/>
      <c r="V179" s="112"/>
      <c r="W179" s="113"/>
      <c r="X179" s="6"/>
      <c r="Y179" s="101"/>
      <c r="Z179" s="112"/>
      <c r="AA179" s="112"/>
      <c r="AB179" s="112"/>
      <c r="AC179" s="113"/>
      <c r="AD179" s="6"/>
      <c r="AE179" s="101"/>
      <c r="AF179" s="112"/>
      <c r="AG179" s="112"/>
      <c r="AH179" s="112"/>
      <c r="AI179" s="113"/>
      <c r="AJ179" s="6"/>
      <c r="AK179" s="101"/>
      <c r="AL179" s="112"/>
      <c r="AM179" s="112"/>
      <c r="AN179" s="112"/>
      <c r="AO179" s="113"/>
      <c r="AP179" s="130"/>
    </row>
    <row r="180" spans="1:42" x14ac:dyDescent="0.25">
      <c r="A180" s="101"/>
      <c r="B180" s="112"/>
      <c r="C180" s="112"/>
      <c r="D180" s="112"/>
      <c r="E180" s="113"/>
      <c r="F180" s="128"/>
      <c r="G180" s="101"/>
      <c r="H180" s="112"/>
      <c r="I180" s="112"/>
      <c r="J180" s="112"/>
      <c r="K180" s="113"/>
      <c r="L180" s="130"/>
      <c r="M180" s="101"/>
      <c r="N180" s="112"/>
      <c r="O180" s="112"/>
      <c r="P180" s="112"/>
      <c r="Q180" s="113"/>
      <c r="R180" s="6"/>
      <c r="S180" s="101"/>
      <c r="T180" s="112"/>
      <c r="U180" s="112"/>
      <c r="V180" s="112"/>
      <c r="W180" s="113"/>
      <c r="X180" s="6"/>
      <c r="Y180" s="101"/>
      <c r="Z180" s="112"/>
      <c r="AA180" s="112"/>
      <c r="AB180" s="112"/>
      <c r="AC180" s="113"/>
      <c r="AD180" s="6"/>
      <c r="AE180" s="101"/>
      <c r="AF180" s="112"/>
      <c r="AG180" s="112"/>
      <c r="AH180" s="112"/>
      <c r="AI180" s="113"/>
      <c r="AJ180" s="6"/>
      <c r="AK180" s="101"/>
      <c r="AL180" s="112"/>
      <c r="AM180" s="112"/>
      <c r="AN180" s="112"/>
      <c r="AO180" s="113"/>
      <c r="AP180" s="130"/>
    </row>
    <row r="181" spans="1:42" x14ac:dyDescent="0.25">
      <c r="A181" s="101"/>
      <c r="B181" s="112"/>
      <c r="C181" s="112"/>
      <c r="D181" s="112"/>
      <c r="E181" s="113"/>
      <c r="F181" s="128"/>
      <c r="G181" s="101"/>
      <c r="H181" s="112"/>
      <c r="I181" s="112"/>
      <c r="J181" s="112"/>
      <c r="K181" s="113"/>
      <c r="L181" s="130"/>
      <c r="M181" s="101"/>
      <c r="N181" s="112"/>
      <c r="O181" s="112"/>
      <c r="P181" s="112"/>
      <c r="Q181" s="113"/>
      <c r="R181" s="6"/>
      <c r="S181" s="101"/>
      <c r="T181" s="112"/>
      <c r="U181" s="112"/>
      <c r="V181" s="112"/>
      <c r="W181" s="113"/>
      <c r="X181" s="6"/>
      <c r="Y181" s="101"/>
      <c r="Z181" s="112"/>
      <c r="AA181" s="112"/>
      <c r="AB181" s="112"/>
      <c r="AC181" s="113"/>
      <c r="AD181" s="6"/>
      <c r="AE181" s="101"/>
      <c r="AF181" s="112"/>
      <c r="AG181" s="112"/>
      <c r="AH181" s="112"/>
      <c r="AI181" s="113"/>
      <c r="AJ181" s="6"/>
      <c r="AK181" s="101"/>
      <c r="AL181" s="112"/>
      <c r="AM181" s="112"/>
      <c r="AN181" s="112"/>
      <c r="AO181" s="113"/>
      <c r="AP181" s="130"/>
    </row>
    <row r="182" spans="1:42" x14ac:dyDescent="0.25">
      <c r="A182" s="101"/>
      <c r="B182" s="112"/>
      <c r="C182" s="112"/>
      <c r="D182" s="112"/>
      <c r="E182" s="113"/>
      <c r="F182" s="128"/>
      <c r="G182" s="101"/>
      <c r="H182" s="112"/>
      <c r="I182" s="112"/>
      <c r="J182" s="112"/>
      <c r="K182" s="113"/>
      <c r="L182" s="130"/>
      <c r="M182" s="101"/>
      <c r="N182" s="112"/>
      <c r="O182" s="112"/>
      <c r="P182" s="112"/>
      <c r="Q182" s="113"/>
      <c r="R182" s="6"/>
      <c r="S182" s="101"/>
      <c r="T182" s="112"/>
      <c r="U182" s="112"/>
      <c r="V182" s="112"/>
      <c r="W182" s="113"/>
      <c r="X182" s="6"/>
      <c r="Y182" s="101"/>
      <c r="Z182" s="112"/>
      <c r="AA182" s="112"/>
      <c r="AB182" s="112"/>
      <c r="AC182" s="113"/>
      <c r="AD182" s="6"/>
      <c r="AE182" s="101"/>
      <c r="AF182" s="112"/>
      <c r="AG182" s="112"/>
      <c r="AH182" s="112"/>
      <c r="AI182" s="113"/>
      <c r="AJ182" s="6"/>
      <c r="AK182" s="101"/>
      <c r="AL182" s="112"/>
      <c r="AM182" s="112"/>
      <c r="AN182" s="112"/>
      <c r="AO182" s="113"/>
      <c r="AP182" s="130"/>
    </row>
    <row r="183" spans="1:42" x14ac:dyDescent="0.25">
      <c r="A183" s="101"/>
      <c r="B183" s="112"/>
      <c r="C183" s="112"/>
      <c r="D183" s="112"/>
      <c r="E183" s="113"/>
      <c r="F183" s="128"/>
      <c r="G183" s="101"/>
      <c r="H183" s="112"/>
      <c r="I183" s="112"/>
      <c r="J183" s="112"/>
      <c r="K183" s="113"/>
      <c r="L183" s="130"/>
      <c r="M183" s="101"/>
      <c r="N183" s="112"/>
      <c r="O183" s="112"/>
      <c r="P183" s="112"/>
      <c r="Q183" s="113"/>
      <c r="R183" s="6"/>
      <c r="S183" s="101"/>
      <c r="T183" s="112"/>
      <c r="U183" s="112"/>
      <c r="V183" s="112"/>
      <c r="W183" s="113"/>
      <c r="X183" s="6"/>
      <c r="Y183" s="101"/>
      <c r="Z183" s="112"/>
      <c r="AA183" s="112"/>
      <c r="AB183" s="112"/>
      <c r="AC183" s="113"/>
      <c r="AD183" s="6"/>
      <c r="AE183" s="101"/>
      <c r="AF183" s="112"/>
      <c r="AG183" s="112"/>
      <c r="AH183" s="112"/>
      <c r="AI183" s="113"/>
      <c r="AJ183" s="6"/>
      <c r="AK183" s="101"/>
      <c r="AL183" s="112"/>
      <c r="AM183" s="112"/>
      <c r="AN183" s="112"/>
      <c r="AO183" s="113"/>
      <c r="AP183" s="130"/>
    </row>
    <row r="184" spans="1:42" x14ac:dyDescent="0.25">
      <c r="A184" s="101"/>
      <c r="B184" s="112"/>
      <c r="C184" s="112"/>
      <c r="D184" s="112"/>
      <c r="E184" s="113"/>
      <c r="F184" s="128"/>
      <c r="G184" s="101"/>
      <c r="H184" s="112"/>
      <c r="I184" s="112"/>
      <c r="J184" s="112"/>
      <c r="K184" s="113"/>
      <c r="L184" s="130"/>
      <c r="M184" s="101"/>
      <c r="N184" s="112"/>
      <c r="O184" s="112"/>
      <c r="P184" s="112"/>
      <c r="Q184" s="113"/>
      <c r="R184" s="6"/>
      <c r="S184" s="101"/>
      <c r="T184" s="112"/>
      <c r="U184" s="112"/>
      <c r="V184" s="112"/>
      <c r="W184" s="113"/>
      <c r="X184" s="6"/>
      <c r="Y184" s="101"/>
      <c r="Z184" s="112"/>
      <c r="AA184" s="112"/>
      <c r="AB184" s="112"/>
      <c r="AC184" s="113"/>
      <c r="AD184" s="6"/>
      <c r="AE184" s="101"/>
      <c r="AF184" s="112"/>
      <c r="AG184" s="112"/>
      <c r="AH184" s="112"/>
      <c r="AI184" s="113"/>
      <c r="AJ184" s="6"/>
      <c r="AK184" s="101"/>
      <c r="AL184" s="112"/>
      <c r="AM184" s="112"/>
      <c r="AN184" s="112"/>
      <c r="AO184" s="113"/>
      <c r="AP184" s="130"/>
    </row>
    <row r="185" spans="1:42" x14ac:dyDescent="0.25">
      <c r="A185" s="101"/>
      <c r="B185" s="112"/>
      <c r="C185" s="112"/>
      <c r="D185" s="112"/>
      <c r="E185" s="113"/>
      <c r="F185" s="128"/>
      <c r="G185" s="101"/>
      <c r="H185" s="112"/>
      <c r="I185" s="112"/>
      <c r="J185" s="112"/>
      <c r="K185" s="113"/>
      <c r="L185" s="130"/>
      <c r="M185" s="101"/>
      <c r="N185" s="112"/>
      <c r="O185" s="112"/>
      <c r="P185" s="112"/>
      <c r="Q185" s="113"/>
      <c r="R185" s="6"/>
      <c r="S185" s="101"/>
      <c r="T185" s="112"/>
      <c r="U185" s="112"/>
      <c r="V185" s="112"/>
      <c r="W185" s="113"/>
      <c r="X185" s="6"/>
      <c r="Y185" s="101"/>
      <c r="Z185" s="112"/>
      <c r="AA185" s="112"/>
      <c r="AB185" s="112"/>
      <c r="AC185" s="113"/>
      <c r="AD185" s="6"/>
      <c r="AE185" s="101"/>
      <c r="AF185" s="112"/>
      <c r="AG185" s="112"/>
      <c r="AH185" s="112"/>
      <c r="AI185" s="113"/>
      <c r="AJ185" s="6"/>
      <c r="AK185" s="101"/>
      <c r="AL185" s="112"/>
      <c r="AM185" s="112"/>
      <c r="AN185" s="112"/>
      <c r="AO185" s="113"/>
      <c r="AP185" s="130"/>
    </row>
    <row r="186" spans="1:42" x14ac:dyDescent="0.25">
      <c r="A186" s="101"/>
      <c r="B186" s="112"/>
      <c r="C186" s="112"/>
      <c r="D186" s="112"/>
      <c r="E186" s="113"/>
      <c r="F186" s="128"/>
      <c r="G186" s="101"/>
      <c r="H186" s="112"/>
      <c r="I186" s="112"/>
      <c r="J186" s="112"/>
      <c r="K186" s="113"/>
      <c r="L186" s="130"/>
      <c r="M186" s="101"/>
      <c r="N186" s="112"/>
      <c r="O186" s="112"/>
      <c r="P186" s="112"/>
      <c r="Q186" s="113"/>
      <c r="R186" s="6"/>
      <c r="S186" s="101"/>
      <c r="T186" s="112"/>
      <c r="U186" s="112"/>
      <c r="V186" s="112"/>
      <c r="W186" s="113"/>
      <c r="X186" s="6"/>
      <c r="Y186" s="101"/>
      <c r="Z186" s="112"/>
      <c r="AA186" s="112"/>
      <c r="AB186" s="112"/>
      <c r="AC186" s="113"/>
      <c r="AD186" s="6"/>
      <c r="AE186" s="101"/>
      <c r="AF186" s="112"/>
      <c r="AG186" s="112"/>
      <c r="AH186" s="112"/>
      <c r="AI186" s="113"/>
      <c r="AJ186" s="6"/>
      <c r="AK186" s="101"/>
      <c r="AL186" s="112"/>
      <c r="AM186" s="112"/>
      <c r="AN186" s="112"/>
      <c r="AO186" s="113"/>
      <c r="AP186" s="130"/>
    </row>
    <row r="187" spans="1:42" x14ac:dyDescent="0.25">
      <c r="A187" s="101"/>
      <c r="B187" s="112"/>
      <c r="C187" s="112"/>
      <c r="D187" s="112"/>
      <c r="E187" s="113"/>
      <c r="F187" s="128"/>
      <c r="G187" s="101"/>
      <c r="H187" s="112"/>
      <c r="I187" s="112"/>
      <c r="J187" s="112"/>
      <c r="K187" s="113"/>
      <c r="L187" s="130"/>
      <c r="M187" s="101"/>
      <c r="N187" s="112"/>
      <c r="O187" s="112"/>
      <c r="P187" s="112"/>
      <c r="Q187" s="113"/>
      <c r="R187" s="6"/>
      <c r="S187" s="101"/>
      <c r="T187" s="112"/>
      <c r="U187" s="112"/>
      <c r="V187" s="112"/>
      <c r="W187" s="113"/>
      <c r="X187" s="6"/>
      <c r="Y187" s="101"/>
      <c r="Z187" s="112"/>
      <c r="AA187" s="112"/>
      <c r="AB187" s="112"/>
      <c r="AC187" s="113"/>
      <c r="AD187" s="6"/>
      <c r="AE187" s="101"/>
      <c r="AF187" s="112"/>
      <c r="AG187" s="112"/>
      <c r="AH187" s="112"/>
      <c r="AI187" s="113"/>
      <c r="AJ187" s="6"/>
      <c r="AK187" s="101"/>
      <c r="AL187" s="112"/>
      <c r="AM187" s="112"/>
      <c r="AN187" s="112"/>
      <c r="AO187" s="113"/>
      <c r="AP187" s="130"/>
    </row>
    <row r="188" spans="1:42" x14ac:dyDescent="0.25">
      <c r="A188" s="101"/>
      <c r="B188" s="112"/>
      <c r="C188" s="112"/>
      <c r="D188" s="112"/>
      <c r="E188" s="113"/>
      <c r="F188" s="128"/>
      <c r="G188" s="101"/>
      <c r="H188" s="112"/>
      <c r="I188" s="112"/>
      <c r="J188" s="112"/>
      <c r="K188" s="113"/>
      <c r="L188" s="130"/>
      <c r="M188" s="101"/>
      <c r="N188" s="112"/>
      <c r="O188" s="112"/>
      <c r="P188" s="112"/>
      <c r="Q188" s="113"/>
      <c r="R188" s="6"/>
      <c r="S188" s="101"/>
      <c r="T188" s="112"/>
      <c r="U188" s="112"/>
      <c r="V188" s="112"/>
      <c r="W188" s="113"/>
      <c r="X188" s="6"/>
      <c r="Y188" s="101"/>
      <c r="Z188" s="112"/>
      <c r="AA188" s="112"/>
      <c r="AB188" s="112"/>
      <c r="AC188" s="113"/>
      <c r="AD188" s="6"/>
      <c r="AE188" s="101"/>
      <c r="AF188" s="112"/>
      <c r="AG188" s="112"/>
      <c r="AH188" s="112"/>
      <c r="AI188" s="113"/>
      <c r="AJ188" s="6"/>
      <c r="AK188" s="101"/>
      <c r="AL188" s="112"/>
      <c r="AM188" s="112"/>
      <c r="AN188" s="112"/>
      <c r="AO188" s="113"/>
      <c r="AP188" s="130"/>
    </row>
    <row r="189" spans="1:42" x14ac:dyDescent="0.25">
      <c r="A189" s="101"/>
      <c r="B189" s="112"/>
      <c r="C189" s="112"/>
      <c r="D189" s="112"/>
      <c r="E189" s="113"/>
      <c r="F189" s="128"/>
      <c r="G189" s="101"/>
      <c r="H189" s="112"/>
      <c r="I189" s="112"/>
      <c r="J189" s="112"/>
      <c r="K189" s="113"/>
      <c r="L189" s="130"/>
      <c r="M189" s="101"/>
      <c r="N189" s="112"/>
      <c r="O189" s="112"/>
      <c r="P189" s="112"/>
      <c r="Q189" s="113"/>
      <c r="R189" s="6"/>
      <c r="S189" s="101"/>
      <c r="T189" s="112"/>
      <c r="U189" s="112"/>
      <c r="V189" s="112"/>
      <c r="W189" s="113"/>
      <c r="X189" s="6"/>
      <c r="Y189" s="101"/>
      <c r="Z189" s="112"/>
      <c r="AA189" s="112"/>
      <c r="AB189" s="112"/>
      <c r="AC189" s="113"/>
      <c r="AD189" s="6"/>
      <c r="AE189" s="101"/>
      <c r="AF189" s="112"/>
      <c r="AG189" s="112"/>
      <c r="AH189" s="112"/>
      <c r="AI189" s="113"/>
      <c r="AJ189" s="6"/>
      <c r="AK189" s="101"/>
      <c r="AL189" s="112"/>
      <c r="AM189" s="112"/>
      <c r="AN189" s="112"/>
      <c r="AO189" s="113"/>
      <c r="AP189" s="130"/>
    </row>
    <row r="190" spans="1:42" x14ac:dyDescent="0.25">
      <c r="A190" s="101"/>
      <c r="B190" s="112"/>
      <c r="C190" s="112"/>
      <c r="D190" s="112"/>
      <c r="E190" s="113"/>
      <c r="F190" s="128"/>
      <c r="G190" s="101"/>
      <c r="H190" s="112"/>
      <c r="I190" s="112"/>
      <c r="J190" s="112"/>
      <c r="K190" s="113"/>
      <c r="L190" s="130"/>
      <c r="M190" s="101"/>
      <c r="N190" s="112"/>
      <c r="O190" s="112"/>
      <c r="P190" s="112"/>
      <c r="Q190" s="113"/>
      <c r="R190" s="6"/>
      <c r="S190" s="101"/>
      <c r="T190" s="112"/>
      <c r="U190" s="112"/>
      <c r="V190" s="112"/>
      <c r="W190" s="113"/>
      <c r="X190" s="6"/>
      <c r="Y190" s="101"/>
      <c r="Z190" s="112"/>
      <c r="AA190" s="112"/>
      <c r="AB190" s="112"/>
      <c r="AC190" s="113"/>
      <c r="AD190" s="6"/>
      <c r="AE190" s="101"/>
      <c r="AF190" s="112"/>
      <c r="AG190" s="112"/>
      <c r="AH190" s="112"/>
      <c r="AI190" s="113"/>
      <c r="AJ190" s="6"/>
      <c r="AK190" s="101"/>
      <c r="AL190" s="112"/>
      <c r="AM190" s="112"/>
      <c r="AN190" s="112"/>
      <c r="AO190" s="113"/>
      <c r="AP190" s="130"/>
    </row>
    <row r="191" spans="1:42" x14ac:dyDescent="0.25">
      <c r="A191" s="101"/>
      <c r="B191" s="112"/>
      <c r="C191" s="112"/>
      <c r="D191" s="112"/>
      <c r="E191" s="113"/>
      <c r="F191" s="128"/>
      <c r="G191" s="101"/>
      <c r="H191" s="112"/>
      <c r="I191" s="112"/>
      <c r="J191" s="112"/>
      <c r="K191" s="113"/>
      <c r="L191" s="130"/>
      <c r="M191" s="101"/>
      <c r="N191" s="112"/>
      <c r="O191" s="112"/>
      <c r="P191" s="112"/>
      <c r="Q191" s="113"/>
      <c r="R191" s="6"/>
      <c r="S191" s="101"/>
      <c r="T191" s="112"/>
      <c r="U191" s="112"/>
      <c r="V191" s="112"/>
      <c r="W191" s="113"/>
      <c r="X191" s="6"/>
      <c r="Y191" s="101"/>
      <c r="Z191" s="112"/>
      <c r="AA191" s="112"/>
      <c r="AB191" s="112"/>
      <c r="AC191" s="113"/>
      <c r="AD191" s="6"/>
      <c r="AE191" s="101"/>
      <c r="AF191" s="112"/>
      <c r="AG191" s="112"/>
      <c r="AH191" s="112"/>
      <c r="AI191" s="113"/>
      <c r="AJ191" s="6"/>
      <c r="AK191" s="101"/>
      <c r="AL191" s="112"/>
      <c r="AM191" s="112"/>
      <c r="AN191" s="112"/>
      <c r="AO191" s="113"/>
      <c r="AP191" s="130"/>
    </row>
    <row r="192" spans="1:42" x14ac:dyDescent="0.25">
      <c r="A192" s="101"/>
      <c r="B192" s="112"/>
      <c r="C192" s="112"/>
      <c r="D192" s="112"/>
      <c r="E192" s="113"/>
      <c r="F192" s="128"/>
      <c r="G192" s="101"/>
      <c r="H192" s="112"/>
      <c r="I192" s="112"/>
      <c r="J192" s="112"/>
      <c r="K192" s="113"/>
      <c r="L192" s="130"/>
      <c r="M192" s="101"/>
      <c r="N192" s="112"/>
      <c r="O192" s="112"/>
      <c r="P192" s="112"/>
      <c r="Q192" s="113"/>
      <c r="R192" s="6"/>
      <c r="S192" s="101"/>
      <c r="T192" s="112"/>
      <c r="U192" s="112"/>
      <c r="V192" s="112"/>
      <c r="W192" s="113"/>
      <c r="X192" s="6"/>
      <c r="Y192" s="101"/>
      <c r="Z192" s="112"/>
      <c r="AA192" s="112"/>
      <c r="AB192" s="112"/>
      <c r="AC192" s="113"/>
      <c r="AD192" s="6"/>
      <c r="AE192" s="101"/>
      <c r="AF192" s="112"/>
      <c r="AG192" s="112"/>
      <c r="AH192" s="112"/>
      <c r="AI192" s="113"/>
      <c r="AJ192" s="6"/>
      <c r="AK192" s="101"/>
      <c r="AL192" s="112"/>
      <c r="AM192" s="112"/>
      <c r="AN192" s="112"/>
      <c r="AO192" s="113"/>
      <c r="AP192" s="130"/>
    </row>
    <row r="193" spans="1:42" x14ac:dyDescent="0.25">
      <c r="A193" s="101"/>
      <c r="B193" s="112"/>
      <c r="C193" s="112"/>
      <c r="D193" s="112"/>
      <c r="E193" s="113"/>
      <c r="F193" s="128"/>
      <c r="G193" s="101"/>
      <c r="H193" s="112"/>
      <c r="I193" s="112"/>
      <c r="J193" s="112"/>
      <c r="K193" s="113"/>
      <c r="L193" s="130"/>
      <c r="M193" s="101"/>
      <c r="N193" s="112"/>
      <c r="O193" s="112"/>
      <c r="P193" s="112"/>
      <c r="Q193" s="113"/>
      <c r="R193" s="6"/>
      <c r="S193" s="101"/>
      <c r="T193" s="112"/>
      <c r="U193" s="112"/>
      <c r="V193" s="112"/>
      <c r="W193" s="113"/>
      <c r="X193" s="6"/>
      <c r="Y193" s="101"/>
      <c r="Z193" s="112"/>
      <c r="AA193" s="112"/>
      <c r="AB193" s="112"/>
      <c r="AC193" s="113"/>
      <c r="AD193" s="6"/>
      <c r="AE193" s="101"/>
      <c r="AF193" s="112"/>
      <c r="AG193" s="112"/>
      <c r="AH193" s="112"/>
      <c r="AI193" s="113"/>
      <c r="AJ193" s="6"/>
      <c r="AK193" s="101"/>
      <c r="AL193" s="112"/>
      <c r="AM193" s="112"/>
      <c r="AN193" s="112"/>
      <c r="AO193" s="113"/>
      <c r="AP193" s="130"/>
    </row>
    <row r="194" spans="1:42" x14ac:dyDescent="0.25">
      <c r="A194" s="101"/>
      <c r="B194" s="112"/>
      <c r="C194" s="112"/>
      <c r="D194" s="112"/>
      <c r="E194" s="113"/>
      <c r="F194" s="128"/>
      <c r="G194" s="101"/>
      <c r="H194" s="112"/>
      <c r="I194" s="112"/>
      <c r="J194" s="112"/>
      <c r="K194" s="113"/>
      <c r="L194" s="130"/>
      <c r="M194" s="101"/>
      <c r="N194" s="112"/>
      <c r="O194" s="112"/>
      <c r="P194" s="112"/>
      <c r="Q194" s="113"/>
      <c r="R194" s="6"/>
      <c r="S194" s="101"/>
      <c r="T194" s="112"/>
      <c r="U194" s="112"/>
      <c r="V194" s="112"/>
      <c r="W194" s="113"/>
      <c r="X194" s="6"/>
      <c r="Y194" s="101"/>
      <c r="Z194" s="112"/>
      <c r="AA194" s="112"/>
      <c r="AB194" s="112"/>
      <c r="AC194" s="113"/>
      <c r="AD194" s="6"/>
      <c r="AE194" s="101"/>
      <c r="AF194" s="112"/>
      <c r="AG194" s="112"/>
      <c r="AH194" s="112"/>
      <c r="AI194" s="113"/>
      <c r="AJ194" s="6"/>
      <c r="AK194" s="101"/>
      <c r="AL194" s="112"/>
      <c r="AM194" s="112"/>
      <c r="AN194" s="112"/>
      <c r="AO194" s="113"/>
      <c r="AP194" s="130"/>
    </row>
    <row r="195" spans="1:42" x14ac:dyDescent="0.25">
      <c r="A195" s="101"/>
      <c r="B195" s="112"/>
      <c r="C195" s="112"/>
      <c r="D195" s="112"/>
      <c r="E195" s="113"/>
      <c r="F195" s="128"/>
      <c r="G195" s="101"/>
      <c r="H195" s="112"/>
      <c r="I195" s="112"/>
      <c r="J195" s="112"/>
      <c r="K195" s="113"/>
      <c r="L195" s="130"/>
      <c r="M195" s="101"/>
      <c r="N195" s="112"/>
      <c r="O195" s="112"/>
      <c r="P195" s="112"/>
      <c r="Q195" s="113"/>
      <c r="R195" s="6"/>
      <c r="S195" s="101"/>
      <c r="T195" s="112"/>
      <c r="U195" s="112"/>
      <c r="V195" s="112"/>
      <c r="W195" s="113"/>
      <c r="X195" s="6"/>
      <c r="Y195" s="101"/>
      <c r="Z195" s="112"/>
      <c r="AA195" s="112"/>
      <c r="AB195" s="112"/>
      <c r="AC195" s="113"/>
      <c r="AD195" s="6"/>
      <c r="AE195" s="101"/>
      <c r="AF195" s="112"/>
      <c r="AG195" s="112"/>
      <c r="AH195" s="112"/>
      <c r="AI195" s="113"/>
      <c r="AJ195" s="6"/>
      <c r="AK195" s="101"/>
      <c r="AL195" s="112"/>
      <c r="AM195" s="112"/>
      <c r="AN195" s="112"/>
      <c r="AO195" s="113"/>
      <c r="AP195" s="130"/>
    </row>
    <row r="196" spans="1:42" x14ac:dyDescent="0.25">
      <c r="A196" s="101"/>
      <c r="B196" s="112"/>
      <c r="C196" s="112"/>
      <c r="D196" s="112"/>
      <c r="E196" s="113"/>
      <c r="F196" s="128"/>
      <c r="G196" s="101"/>
      <c r="H196" s="112"/>
      <c r="I196" s="112"/>
      <c r="J196" s="112"/>
      <c r="K196" s="113"/>
      <c r="L196" s="130"/>
      <c r="M196" s="101"/>
      <c r="N196" s="112"/>
      <c r="O196" s="112"/>
      <c r="P196" s="112"/>
      <c r="Q196" s="113"/>
      <c r="R196" s="6"/>
      <c r="S196" s="101"/>
      <c r="T196" s="112"/>
      <c r="U196" s="112"/>
      <c r="V196" s="112"/>
      <c r="W196" s="113"/>
      <c r="X196" s="6"/>
      <c r="Y196" s="101"/>
      <c r="Z196" s="112"/>
      <c r="AA196" s="112"/>
      <c r="AB196" s="112"/>
      <c r="AC196" s="113"/>
      <c r="AD196" s="6"/>
      <c r="AE196" s="101"/>
      <c r="AF196" s="112"/>
      <c r="AG196" s="112"/>
      <c r="AH196" s="112"/>
      <c r="AI196" s="113"/>
      <c r="AJ196" s="6"/>
      <c r="AK196" s="101"/>
      <c r="AL196" s="112"/>
      <c r="AM196" s="112"/>
      <c r="AN196" s="112"/>
      <c r="AO196" s="113"/>
      <c r="AP196" s="130"/>
    </row>
    <row r="197" spans="1:42" x14ac:dyDescent="0.25">
      <c r="A197" s="101"/>
      <c r="B197" s="112"/>
      <c r="C197" s="112"/>
      <c r="D197" s="112"/>
      <c r="E197" s="113"/>
      <c r="F197" s="128"/>
      <c r="G197" s="101"/>
      <c r="H197" s="112"/>
      <c r="I197" s="112"/>
      <c r="J197" s="112"/>
      <c r="K197" s="113"/>
      <c r="L197" s="130"/>
      <c r="M197" s="101"/>
      <c r="N197" s="112"/>
      <c r="O197" s="112"/>
      <c r="P197" s="112"/>
      <c r="Q197" s="113"/>
      <c r="R197" s="6"/>
      <c r="S197" s="101"/>
      <c r="T197" s="112"/>
      <c r="U197" s="112"/>
      <c r="V197" s="112"/>
      <c r="W197" s="113"/>
      <c r="X197" s="6"/>
      <c r="Y197" s="101"/>
      <c r="Z197" s="112"/>
      <c r="AA197" s="112"/>
      <c r="AB197" s="112"/>
      <c r="AC197" s="113"/>
      <c r="AD197" s="6"/>
      <c r="AE197" s="101"/>
      <c r="AF197" s="112"/>
      <c r="AG197" s="112"/>
      <c r="AH197" s="112"/>
      <c r="AI197" s="113"/>
      <c r="AJ197" s="6"/>
      <c r="AK197" s="101"/>
      <c r="AL197" s="112"/>
      <c r="AM197" s="112"/>
      <c r="AN197" s="112"/>
      <c r="AO197" s="113"/>
      <c r="AP197" s="130"/>
    </row>
    <row r="198" spans="1:42" x14ac:dyDescent="0.25">
      <c r="A198" s="101"/>
      <c r="B198" s="112"/>
      <c r="C198" s="112"/>
      <c r="D198" s="112"/>
      <c r="E198" s="113"/>
      <c r="F198" s="128"/>
      <c r="G198" s="101"/>
      <c r="H198" s="112"/>
      <c r="I198" s="112"/>
      <c r="J198" s="112"/>
      <c r="K198" s="113"/>
      <c r="L198" s="130"/>
      <c r="M198" s="101"/>
      <c r="N198" s="112"/>
      <c r="O198" s="112"/>
      <c r="P198" s="112"/>
      <c r="Q198" s="113"/>
      <c r="R198" s="6"/>
      <c r="S198" s="101"/>
      <c r="T198" s="112"/>
      <c r="U198" s="112"/>
      <c r="V198" s="112"/>
      <c r="W198" s="113"/>
      <c r="X198" s="6"/>
      <c r="Y198" s="101"/>
      <c r="Z198" s="112"/>
      <c r="AA198" s="112"/>
      <c r="AB198" s="112"/>
      <c r="AC198" s="113"/>
      <c r="AD198" s="6"/>
      <c r="AE198" s="101"/>
      <c r="AF198" s="112"/>
      <c r="AG198" s="112"/>
      <c r="AH198" s="112"/>
      <c r="AI198" s="113"/>
      <c r="AJ198" s="6"/>
      <c r="AK198" s="101"/>
      <c r="AL198" s="112"/>
      <c r="AM198" s="112"/>
      <c r="AN198" s="112"/>
      <c r="AO198" s="113"/>
      <c r="AP198" s="130"/>
    </row>
    <row r="199" spans="1:42" x14ac:dyDescent="0.25">
      <c r="A199" s="101"/>
      <c r="B199" s="112"/>
      <c r="C199" s="112"/>
      <c r="D199" s="112"/>
      <c r="E199" s="113"/>
      <c r="F199" s="128"/>
      <c r="G199" s="101"/>
      <c r="H199" s="112"/>
      <c r="I199" s="112"/>
      <c r="J199" s="112"/>
      <c r="K199" s="113"/>
      <c r="L199" s="130"/>
      <c r="M199" s="101"/>
      <c r="N199" s="112"/>
      <c r="O199" s="112"/>
      <c r="P199" s="112"/>
      <c r="Q199" s="113"/>
      <c r="R199" s="6"/>
      <c r="S199" s="101"/>
      <c r="T199" s="112"/>
      <c r="U199" s="112"/>
      <c r="V199" s="112"/>
      <c r="W199" s="113"/>
      <c r="X199" s="6"/>
      <c r="Y199" s="101"/>
      <c r="Z199" s="112"/>
      <c r="AA199" s="112"/>
      <c r="AB199" s="112"/>
      <c r="AC199" s="113"/>
      <c r="AD199" s="6"/>
      <c r="AE199" s="101"/>
      <c r="AF199" s="112"/>
      <c r="AG199" s="112"/>
      <c r="AH199" s="112"/>
      <c r="AI199" s="113"/>
      <c r="AJ199" s="6"/>
      <c r="AK199" s="101"/>
      <c r="AL199" s="112"/>
      <c r="AM199" s="112"/>
      <c r="AN199" s="112"/>
      <c r="AO199" s="113"/>
      <c r="AP199" s="130"/>
    </row>
    <row r="200" spans="1:42" x14ac:dyDescent="0.25">
      <c r="A200" s="101"/>
      <c r="B200" s="112"/>
      <c r="C200" s="112"/>
      <c r="D200" s="112"/>
      <c r="E200" s="113"/>
      <c r="F200" s="128"/>
      <c r="G200" s="101"/>
      <c r="H200" s="112"/>
      <c r="I200" s="112"/>
      <c r="J200" s="112"/>
      <c r="K200" s="113"/>
      <c r="L200" s="130"/>
      <c r="M200" s="101"/>
      <c r="N200" s="112"/>
      <c r="O200" s="112"/>
      <c r="P200" s="112"/>
      <c r="Q200" s="113"/>
      <c r="R200" s="6"/>
      <c r="S200" s="101"/>
      <c r="T200" s="112"/>
      <c r="U200" s="112"/>
      <c r="V200" s="112"/>
      <c r="W200" s="113"/>
      <c r="X200" s="6"/>
      <c r="Y200" s="101"/>
      <c r="Z200" s="112"/>
      <c r="AA200" s="112"/>
      <c r="AB200" s="112"/>
      <c r="AC200" s="113"/>
      <c r="AD200" s="6"/>
      <c r="AE200" s="101"/>
      <c r="AF200" s="112"/>
      <c r="AG200" s="112"/>
      <c r="AH200" s="112"/>
      <c r="AI200" s="113"/>
      <c r="AJ200" s="6"/>
      <c r="AK200" s="101"/>
      <c r="AL200" s="112"/>
      <c r="AM200" s="112"/>
      <c r="AN200" s="112"/>
      <c r="AO200" s="113"/>
      <c r="AP200" s="130"/>
    </row>
    <row r="201" spans="1:42" x14ac:dyDescent="0.25">
      <c r="A201" s="101"/>
      <c r="B201" s="112"/>
      <c r="C201" s="112"/>
      <c r="D201" s="112"/>
      <c r="E201" s="113"/>
      <c r="F201" s="128"/>
      <c r="G201" s="101"/>
      <c r="H201" s="112"/>
      <c r="I201" s="112"/>
      <c r="J201" s="112"/>
      <c r="K201" s="113"/>
      <c r="L201" s="130"/>
      <c r="M201" s="101"/>
      <c r="N201" s="112"/>
      <c r="O201" s="112"/>
      <c r="P201" s="112"/>
      <c r="Q201" s="113"/>
      <c r="R201" s="6"/>
      <c r="S201" s="101"/>
      <c r="T201" s="112"/>
      <c r="U201" s="112"/>
      <c r="V201" s="112"/>
      <c r="W201" s="113"/>
      <c r="X201" s="6"/>
      <c r="Y201" s="101"/>
      <c r="Z201" s="112"/>
      <c r="AA201" s="112"/>
      <c r="AB201" s="112"/>
      <c r="AC201" s="113"/>
      <c r="AD201" s="6"/>
      <c r="AE201" s="101"/>
      <c r="AF201" s="112"/>
      <c r="AG201" s="112"/>
      <c r="AH201" s="112"/>
      <c r="AI201" s="113"/>
      <c r="AJ201" s="6"/>
      <c r="AK201" s="101"/>
      <c r="AL201" s="112"/>
      <c r="AM201" s="112"/>
      <c r="AN201" s="112"/>
      <c r="AO201" s="113"/>
      <c r="AP201" s="130"/>
    </row>
    <row r="202" spans="1:42" x14ac:dyDescent="0.25">
      <c r="A202" s="101"/>
      <c r="B202" s="112"/>
      <c r="C202" s="112"/>
      <c r="D202" s="112"/>
      <c r="E202" s="113"/>
      <c r="F202" s="128"/>
      <c r="G202" s="101"/>
      <c r="H202" s="112"/>
      <c r="I202" s="112"/>
      <c r="J202" s="112"/>
      <c r="K202" s="113"/>
      <c r="L202" s="130"/>
      <c r="M202" s="101"/>
      <c r="N202" s="112"/>
      <c r="O202" s="112"/>
      <c r="P202" s="112"/>
      <c r="Q202" s="113"/>
      <c r="R202" s="6"/>
      <c r="S202" s="101"/>
      <c r="T202" s="112"/>
      <c r="U202" s="112"/>
      <c r="V202" s="112"/>
      <c r="W202" s="113"/>
      <c r="X202" s="6"/>
      <c r="Y202" s="101"/>
      <c r="Z202" s="112"/>
      <c r="AA202" s="112"/>
      <c r="AB202" s="112"/>
      <c r="AC202" s="113"/>
      <c r="AD202" s="6"/>
      <c r="AE202" s="101"/>
      <c r="AF202" s="112"/>
      <c r="AG202" s="112"/>
      <c r="AH202" s="112"/>
      <c r="AI202" s="113"/>
      <c r="AJ202" s="6"/>
      <c r="AK202" s="101"/>
      <c r="AL202" s="112"/>
      <c r="AM202" s="112"/>
      <c r="AN202" s="112"/>
      <c r="AO202" s="113"/>
      <c r="AP202" s="130"/>
    </row>
    <row r="203" spans="1:42" x14ac:dyDescent="0.25">
      <c r="A203" s="101"/>
      <c r="B203" s="112"/>
      <c r="C203" s="112"/>
      <c r="D203" s="112"/>
      <c r="E203" s="113"/>
      <c r="F203" s="128"/>
      <c r="G203" s="101"/>
      <c r="H203" s="112"/>
      <c r="I203" s="112"/>
      <c r="J203" s="112"/>
      <c r="K203" s="113"/>
      <c r="L203" s="130"/>
      <c r="M203" s="101"/>
      <c r="N203" s="112"/>
      <c r="O203" s="112"/>
      <c r="P203" s="112"/>
      <c r="Q203" s="113"/>
      <c r="R203" s="6"/>
      <c r="S203" s="101"/>
      <c r="T203" s="112"/>
      <c r="U203" s="112"/>
      <c r="V203" s="112"/>
      <c r="W203" s="113"/>
      <c r="X203" s="6"/>
      <c r="Y203" s="101"/>
      <c r="Z203" s="112"/>
      <c r="AA203" s="112"/>
      <c r="AB203" s="112"/>
      <c r="AC203" s="113"/>
      <c r="AD203" s="6"/>
      <c r="AE203" s="101"/>
      <c r="AF203" s="112"/>
      <c r="AG203" s="112"/>
      <c r="AH203" s="112"/>
      <c r="AI203" s="113"/>
      <c r="AJ203" s="6"/>
      <c r="AK203" s="101"/>
      <c r="AL203" s="112"/>
      <c r="AM203" s="112"/>
      <c r="AN203" s="112"/>
      <c r="AO203" s="113"/>
      <c r="AP203" s="130"/>
    </row>
    <row r="204" spans="1:42" x14ac:dyDescent="0.25">
      <c r="A204" s="101"/>
      <c r="B204" s="112"/>
      <c r="C204" s="112"/>
      <c r="D204" s="112"/>
      <c r="E204" s="113"/>
      <c r="F204" s="128"/>
      <c r="G204" s="101"/>
      <c r="H204" s="112"/>
      <c r="I204" s="112"/>
      <c r="J204" s="112"/>
      <c r="K204" s="113"/>
      <c r="L204" s="130"/>
      <c r="M204" s="101"/>
      <c r="N204" s="112"/>
      <c r="O204" s="112"/>
      <c r="P204" s="112"/>
      <c r="Q204" s="113"/>
      <c r="R204" s="6"/>
      <c r="S204" s="101"/>
      <c r="T204" s="112"/>
      <c r="U204" s="112"/>
      <c r="V204" s="112"/>
      <c r="W204" s="113"/>
      <c r="X204" s="6"/>
      <c r="Y204" s="101"/>
      <c r="Z204" s="112"/>
      <c r="AA204" s="112"/>
      <c r="AB204" s="112"/>
      <c r="AC204" s="113"/>
      <c r="AD204" s="6"/>
      <c r="AE204" s="101"/>
      <c r="AF204" s="112"/>
      <c r="AG204" s="112"/>
      <c r="AH204" s="112"/>
      <c r="AI204" s="113"/>
      <c r="AJ204" s="6"/>
      <c r="AK204" s="101"/>
      <c r="AL204" s="112"/>
      <c r="AM204" s="112"/>
      <c r="AN204" s="112"/>
      <c r="AO204" s="113"/>
      <c r="AP204" s="130"/>
    </row>
    <row r="205" spans="1:42" x14ac:dyDescent="0.25">
      <c r="A205" s="101"/>
      <c r="B205" s="112"/>
      <c r="C205" s="112"/>
      <c r="D205" s="112"/>
      <c r="E205" s="113"/>
      <c r="F205" s="128"/>
      <c r="G205" s="101"/>
      <c r="H205" s="112"/>
      <c r="I205" s="112"/>
      <c r="J205" s="112"/>
      <c r="K205" s="113"/>
      <c r="L205" s="130"/>
      <c r="M205" s="101"/>
      <c r="N205" s="112"/>
      <c r="O205" s="112"/>
      <c r="P205" s="112"/>
      <c r="Q205" s="113"/>
      <c r="R205" s="6"/>
      <c r="S205" s="101"/>
      <c r="T205" s="112"/>
      <c r="U205" s="112"/>
      <c r="V205" s="112"/>
      <c r="W205" s="113"/>
      <c r="X205" s="6"/>
      <c r="Y205" s="101"/>
      <c r="Z205" s="112"/>
      <c r="AA205" s="112"/>
      <c r="AB205" s="112"/>
      <c r="AC205" s="113"/>
      <c r="AD205" s="6"/>
      <c r="AE205" s="101"/>
      <c r="AF205" s="112"/>
      <c r="AG205" s="112"/>
      <c r="AH205" s="112"/>
      <c r="AI205" s="113"/>
      <c r="AJ205" s="6"/>
      <c r="AK205" s="101"/>
      <c r="AL205" s="112"/>
      <c r="AM205" s="112"/>
      <c r="AN205" s="112"/>
      <c r="AO205" s="113"/>
      <c r="AP205" s="130"/>
    </row>
    <row r="206" spans="1:42" x14ac:dyDescent="0.25">
      <c r="A206" s="101"/>
      <c r="B206" s="112"/>
      <c r="C206" s="112"/>
      <c r="D206" s="112"/>
      <c r="E206" s="113"/>
      <c r="F206" s="128"/>
      <c r="G206" s="101"/>
      <c r="H206" s="112"/>
      <c r="I206" s="112"/>
      <c r="J206" s="112"/>
      <c r="K206" s="113"/>
      <c r="L206" s="130"/>
      <c r="M206" s="101"/>
      <c r="N206" s="112"/>
      <c r="O206" s="112"/>
      <c r="P206" s="112"/>
      <c r="Q206" s="113"/>
      <c r="R206" s="6"/>
      <c r="S206" s="101"/>
      <c r="T206" s="112"/>
      <c r="U206" s="112"/>
      <c r="V206" s="112"/>
      <c r="W206" s="113"/>
      <c r="X206" s="6"/>
      <c r="Y206" s="101"/>
      <c r="Z206" s="112"/>
      <c r="AA206" s="112"/>
      <c r="AB206" s="112"/>
      <c r="AC206" s="113"/>
      <c r="AD206" s="6"/>
      <c r="AE206" s="101"/>
      <c r="AF206" s="112"/>
      <c r="AG206" s="112"/>
      <c r="AH206" s="112"/>
      <c r="AI206" s="113"/>
      <c r="AJ206" s="6"/>
      <c r="AK206" s="101"/>
      <c r="AL206" s="112"/>
      <c r="AM206" s="112"/>
      <c r="AN206" s="112"/>
      <c r="AO206" s="113"/>
      <c r="AP206" s="130"/>
    </row>
    <row r="207" spans="1:42" x14ac:dyDescent="0.25">
      <c r="A207" s="101"/>
      <c r="B207" s="112"/>
      <c r="C207" s="112"/>
      <c r="D207" s="112"/>
      <c r="E207" s="113"/>
      <c r="F207" s="128"/>
      <c r="G207" s="101"/>
      <c r="H207" s="112"/>
      <c r="I207" s="112"/>
      <c r="J207" s="112"/>
      <c r="K207" s="113"/>
      <c r="L207" s="130"/>
      <c r="M207" s="101"/>
      <c r="N207" s="112"/>
      <c r="O207" s="112"/>
      <c r="P207" s="112"/>
      <c r="Q207" s="113"/>
      <c r="R207" s="6"/>
      <c r="S207" s="101"/>
      <c r="T207" s="112"/>
      <c r="U207" s="112"/>
      <c r="V207" s="112"/>
      <c r="W207" s="113"/>
      <c r="X207" s="6"/>
      <c r="Y207" s="101"/>
      <c r="Z207" s="112"/>
      <c r="AA207" s="112"/>
      <c r="AB207" s="112"/>
      <c r="AC207" s="113"/>
      <c r="AD207" s="6"/>
      <c r="AE207" s="101"/>
      <c r="AF207" s="112"/>
      <c r="AG207" s="112"/>
      <c r="AH207" s="112"/>
      <c r="AI207" s="113"/>
      <c r="AJ207" s="6"/>
      <c r="AK207" s="101"/>
      <c r="AL207" s="112"/>
      <c r="AM207" s="112"/>
      <c r="AN207" s="112"/>
      <c r="AO207" s="113"/>
      <c r="AP207" s="130"/>
    </row>
    <row r="208" spans="1:42" x14ac:dyDescent="0.25">
      <c r="A208" s="101"/>
      <c r="B208" s="112"/>
      <c r="C208" s="112"/>
      <c r="D208" s="112"/>
      <c r="E208" s="113"/>
      <c r="F208" s="128"/>
      <c r="G208" s="101"/>
      <c r="H208" s="112"/>
      <c r="I208" s="112"/>
      <c r="J208" s="112"/>
      <c r="K208" s="113"/>
      <c r="L208" s="130"/>
      <c r="M208" s="101"/>
      <c r="N208" s="112"/>
      <c r="O208" s="112"/>
      <c r="P208" s="112"/>
      <c r="Q208" s="113"/>
      <c r="R208" s="6"/>
      <c r="S208" s="101"/>
      <c r="T208" s="112"/>
      <c r="U208" s="112"/>
      <c r="V208" s="112"/>
      <c r="W208" s="113"/>
      <c r="X208" s="6"/>
      <c r="Y208" s="101"/>
      <c r="Z208" s="112"/>
      <c r="AA208" s="112"/>
      <c r="AB208" s="112"/>
      <c r="AC208" s="113"/>
      <c r="AD208" s="6"/>
      <c r="AE208" s="101"/>
      <c r="AF208" s="112"/>
      <c r="AG208" s="112"/>
      <c r="AH208" s="112"/>
      <c r="AI208" s="113"/>
      <c r="AJ208" s="6"/>
      <c r="AK208" s="101"/>
      <c r="AL208" s="112"/>
      <c r="AM208" s="112"/>
      <c r="AN208" s="112"/>
      <c r="AO208" s="113"/>
      <c r="AP208" s="130"/>
    </row>
    <row r="209" spans="1:42" x14ac:dyDescent="0.25">
      <c r="A209" s="101"/>
      <c r="B209" s="112"/>
      <c r="C209" s="112"/>
      <c r="D209" s="112"/>
      <c r="E209" s="113"/>
      <c r="F209" s="128"/>
      <c r="G209" s="101"/>
      <c r="H209" s="112"/>
      <c r="I209" s="112"/>
      <c r="J209" s="112"/>
      <c r="K209" s="113"/>
      <c r="L209" s="130"/>
      <c r="M209" s="101"/>
      <c r="N209" s="112"/>
      <c r="O209" s="112"/>
      <c r="P209" s="112"/>
      <c r="Q209" s="113"/>
      <c r="R209" s="6"/>
      <c r="S209" s="101"/>
      <c r="T209" s="112"/>
      <c r="U209" s="112"/>
      <c r="V209" s="112"/>
      <c r="W209" s="113"/>
      <c r="X209" s="6"/>
      <c r="Y209" s="101"/>
      <c r="Z209" s="112"/>
      <c r="AA209" s="112"/>
      <c r="AB209" s="112"/>
      <c r="AC209" s="113"/>
      <c r="AD209" s="6"/>
      <c r="AE209" s="101"/>
      <c r="AF209" s="112"/>
      <c r="AG209" s="112"/>
      <c r="AH209" s="112"/>
      <c r="AI209" s="113"/>
      <c r="AJ209" s="6"/>
      <c r="AK209" s="101"/>
      <c r="AL209" s="112"/>
      <c r="AM209" s="112"/>
      <c r="AN209" s="112"/>
      <c r="AO209" s="113"/>
      <c r="AP209" s="130"/>
    </row>
    <row r="210" spans="1:42" x14ac:dyDescent="0.25">
      <c r="A210" s="101"/>
      <c r="B210" s="112"/>
      <c r="C210" s="112"/>
      <c r="D210" s="112"/>
      <c r="E210" s="113"/>
      <c r="F210" s="128"/>
      <c r="G210" s="101"/>
      <c r="H210" s="112"/>
      <c r="I210" s="112"/>
      <c r="J210" s="112"/>
      <c r="K210" s="113"/>
      <c r="L210" s="130"/>
      <c r="M210" s="101"/>
      <c r="N210" s="112"/>
      <c r="O210" s="112"/>
      <c r="P210" s="112"/>
      <c r="Q210" s="113"/>
      <c r="R210" s="6"/>
      <c r="S210" s="101"/>
      <c r="T210" s="112"/>
      <c r="U210" s="112"/>
      <c r="V210" s="112"/>
      <c r="W210" s="113"/>
      <c r="X210" s="6"/>
      <c r="Y210" s="101"/>
      <c r="Z210" s="112"/>
      <c r="AA210" s="112"/>
      <c r="AB210" s="112"/>
      <c r="AC210" s="113"/>
      <c r="AD210" s="6"/>
      <c r="AE210" s="101"/>
      <c r="AF210" s="112"/>
      <c r="AG210" s="112"/>
      <c r="AH210" s="112"/>
      <c r="AI210" s="113"/>
      <c r="AJ210" s="6"/>
      <c r="AK210" s="101"/>
      <c r="AL210" s="112"/>
      <c r="AM210" s="112"/>
      <c r="AN210" s="112"/>
      <c r="AO210" s="113"/>
      <c r="AP210" s="130"/>
    </row>
    <row r="211" spans="1:42" x14ac:dyDescent="0.25">
      <c r="A211" s="101"/>
      <c r="B211" s="112"/>
      <c r="C211" s="112"/>
      <c r="D211" s="112"/>
      <c r="E211" s="113"/>
      <c r="F211" s="128"/>
      <c r="G211" s="101"/>
      <c r="H211" s="112"/>
      <c r="I211" s="112"/>
      <c r="J211" s="112"/>
      <c r="K211" s="113"/>
      <c r="L211" s="130"/>
      <c r="M211" s="101"/>
      <c r="N211" s="112"/>
      <c r="O211" s="112"/>
      <c r="P211" s="112"/>
      <c r="Q211" s="113"/>
      <c r="R211" s="6"/>
      <c r="S211" s="101"/>
      <c r="T211" s="112"/>
      <c r="U211" s="112"/>
      <c r="V211" s="112"/>
      <c r="W211" s="113"/>
      <c r="X211" s="6"/>
      <c r="Y211" s="101"/>
      <c r="Z211" s="112"/>
      <c r="AA211" s="112"/>
      <c r="AB211" s="112"/>
      <c r="AC211" s="113"/>
      <c r="AD211" s="6"/>
      <c r="AE211" s="101"/>
      <c r="AF211" s="112"/>
      <c r="AG211" s="112"/>
      <c r="AH211" s="112"/>
      <c r="AI211" s="113"/>
      <c r="AJ211" s="6"/>
      <c r="AK211" s="101"/>
      <c r="AL211" s="112"/>
      <c r="AM211" s="112"/>
      <c r="AN211" s="112"/>
      <c r="AO211" s="113"/>
      <c r="AP211" s="130"/>
    </row>
    <row r="212" spans="1:42" x14ac:dyDescent="0.25">
      <c r="A212" s="101"/>
      <c r="B212" s="112"/>
      <c r="C212" s="112"/>
      <c r="D212" s="112"/>
      <c r="E212" s="113"/>
      <c r="F212" s="128"/>
      <c r="G212" s="101"/>
      <c r="H212" s="112"/>
      <c r="I212" s="112"/>
      <c r="J212" s="112"/>
      <c r="K212" s="113"/>
      <c r="L212" s="130"/>
      <c r="M212" s="101"/>
      <c r="N212" s="112"/>
      <c r="O212" s="112"/>
      <c r="P212" s="112"/>
      <c r="Q212" s="113"/>
      <c r="R212" s="6"/>
      <c r="S212" s="101"/>
      <c r="T212" s="112"/>
      <c r="U212" s="112"/>
      <c r="V212" s="112"/>
      <c r="W212" s="113"/>
      <c r="X212" s="6"/>
      <c r="Y212" s="101"/>
      <c r="Z212" s="112"/>
      <c r="AA212" s="112"/>
      <c r="AB212" s="112"/>
      <c r="AC212" s="113"/>
      <c r="AD212" s="6"/>
      <c r="AE212" s="101"/>
      <c r="AF212" s="112"/>
      <c r="AG212" s="112"/>
      <c r="AH212" s="112"/>
      <c r="AI212" s="113"/>
      <c r="AJ212" s="6"/>
      <c r="AK212" s="101"/>
      <c r="AL212" s="112"/>
      <c r="AM212" s="112"/>
      <c r="AN212" s="112"/>
      <c r="AO212" s="113"/>
      <c r="AP212" s="130"/>
    </row>
    <row r="213" spans="1:42" x14ac:dyDescent="0.25">
      <c r="A213" s="101"/>
      <c r="B213" s="112"/>
      <c r="C213" s="112"/>
      <c r="D213" s="112"/>
      <c r="E213" s="113"/>
      <c r="F213" s="128"/>
      <c r="G213" s="101"/>
      <c r="H213" s="112"/>
      <c r="I213" s="112"/>
      <c r="J213" s="112"/>
      <c r="K213" s="113"/>
      <c r="L213" s="130"/>
      <c r="M213" s="101"/>
      <c r="N213" s="112"/>
      <c r="O213" s="112"/>
      <c r="P213" s="112"/>
      <c r="Q213" s="113"/>
      <c r="R213" s="6"/>
      <c r="S213" s="101"/>
      <c r="T213" s="112"/>
      <c r="U213" s="112"/>
      <c r="V213" s="112"/>
      <c r="W213" s="113"/>
      <c r="X213" s="6"/>
      <c r="Y213" s="101"/>
      <c r="Z213" s="112"/>
      <c r="AA213" s="112"/>
      <c r="AB213" s="112"/>
      <c r="AC213" s="113"/>
      <c r="AD213" s="6"/>
      <c r="AE213" s="101"/>
      <c r="AF213" s="112"/>
      <c r="AG213" s="112"/>
      <c r="AH213" s="112"/>
      <c r="AI213" s="113"/>
      <c r="AJ213" s="6"/>
      <c r="AK213" s="101"/>
      <c r="AL213" s="112"/>
      <c r="AM213" s="112"/>
      <c r="AN213" s="112"/>
      <c r="AO213" s="113"/>
      <c r="AP213" s="130"/>
    </row>
    <row r="214" spans="1:42" x14ac:dyDescent="0.25">
      <c r="A214" s="101"/>
      <c r="B214" s="112"/>
      <c r="C214" s="112"/>
      <c r="D214" s="112"/>
      <c r="E214" s="113"/>
      <c r="F214" s="128"/>
      <c r="G214" s="101"/>
      <c r="H214" s="112"/>
      <c r="I214" s="112"/>
      <c r="J214" s="112"/>
      <c r="K214" s="113"/>
      <c r="L214" s="130"/>
      <c r="M214" s="101"/>
      <c r="N214" s="112"/>
      <c r="O214" s="112"/>
      <c r="P214" s="112"/>
      <c r="Q214" s="113"/>
      <c r="R214" s="6"/>
      <c r="S214" s="101"/>
      <c r="T214" s="112"/>
      <c r="U214" s="112"/>
      <c r="V214" s="112"/>
      <c r="W214" s="113"/>
      <c r="X214" s="6"/>
      <c r="Y214" s="101"/>
      <c r="Z214" s="112"/>
      <c r="AA214" s="112"/>
      <c r="AB214" s="112"/>
      <c r="AC214" s="113"/>
      <c r="AD214" s="6"/>
      <c r="AE214" s="101"/>
      <c r="AF214" s="112"/>
      <c r="AG214" s="112"/>
      <c r="AH214" s="112"/>
      <c r="AI214" s="113"/>
      <c r="AJ214" s="6"/>
      <c r="AK214" s="101"/>
      <c r="AL214" s="112"/>
      <c r="AM214" s="112"/>
      <c r="AN214" s="112"/>
      <c r="AO214" s="113"/>
      <c r="AP214" s="130"/>
    </row>
    <row r="215" spans="1:42" x14ac:dyDescent="0.25">
      <c r="A215" s="101"/>
      <c r="B215" s="112"/>
      <c r="C215" s="112"/>
      <c r="D215" s="112"/>
      <c r="E215" s="113"/>
      <c r="F215" s="128"/>
      <c r="G215" s="101"/>
      <c r="H215" s="112"/>
      <c r="I215" s="112"/>
      <c r="J215" s="112"/>
      <c r="K215" s="113"/>
      <c r="L215" s="130"/>
      <c r="M215" s="101"/>
      <c r="N215" s="112"/>
      <c r="O215" s="112"/>
      <c r="P215" s="112"/>
      <c r="Q215" s="113"/>
      <c r="R215" s="6"/>
      <c r="S215" s="101"/>
      <c r="T215" s="112"/>
      <c r="U215" s="112"/>
      <c r="V215" s="112"/>
      <c r="W215" s="113"/>
      <c r="X215" s="6"/>
      <c r="Y215" s="101"/>
      <c r="Z215" s="112"/>
      <c r="AA215" s="112"/>
      <c r="AB215" s="112"/>
      <c r="AC215" s="113"/>
      <c r="AD215" s="6"/>
      <c r="AE215" s="101"/>
      <c r="AF215" s="112"/>
      <c r="AG215" s="112"/>
      <c r="AH215" s="112"/>
      <c r="AI215" s="113"/>
      <c r="AJ215" s="6"/>
      <c r="AK215" s="101"/>
      <c r="AL215" s="112"/>
      <c r="AM215" s="112"/>
      <c r="AN215" s="112"/>
      <c r="AO215" s="113"/>
      <c r="AP215" s="130"/>
    </row>
    <row r="216" spans="1:42" x14ac:dyDescent="0.25">
      <c r="A216" s="101"/>
      <c r="B216" s="112"/>
      <c r="C216" s="112"/>
      <c r="D216" s="112"/>
      <c r="E216" s="113"/>
      <c r="F216" s="128"/>
      <c r="G216" s="101"/>
      <c r="H216" s="112"/>
      <c r="I216" s="112"/>
      <c r="J216" s="112"/>
      <c r="K216" s="113"/>
      <c r="L216" s="130"/>
      <c r="M216" s="101"/>
      <c r="N216" s="112"/>
      <c r="O216" s="112"/>
      <c r="P216" s="112"/>
      <c r="Q216" s="113"/>
      <c r="R216" s="6"/>
      <c r="S216" s="101"/>
      <c r="T216" s="112"/>
      <c r="U216" s="112"/>
      <c r="V216" s="112"/>
      <c r="W216" s="113"/>
      <c r="X216" s="6"/>
      <c r="Y216" s="101"/>
      <c r="Z216" s="112"/>
      <c r="AA216" s="112"/>
      <c r="AB216" s="112"/>
      <c r="AC216" s="113"/>
      <c r="AD216" s="6"/>
      <c r="AE216" s="101"/>
      <c r="AF216" s="112"/>
      <c r="AG216" s="112"/>
      <c r="AH216" s="112"/>
      <c r="AI216" s="113"/>
      <c r="AJ216" s="6"/>
      <c r="AK216" s="101"/>
      <c r="AL216" s="112"/>
      <c r="AM216" s="112"/>
      <c r="AN216" s="112"/>
      <c r="AO216" s="113"/>
      <c r="AP216" s="130"/>
    </row>
    <row r="217" spans="1:42" x14ac:dyDescent="0.25">
      <c r="A217" s="101"/>
      <c r="B217" s="112"/>
      <c r="C217" s="112"/>
      <c r="D217" s="112"/>
      <c r="E217" s="113"/>
      <c r="F217" s="128"/>
      <c r="G217" s="101"/>
      <c r="H217" s="112"/>
      <c r="I217" s="112"/>
      <c r="J217" s="112"/>
      <c r="K217" s="113"/>
      <c r="L217" s="130"/>
      <c r="M217" s="101"/>
      <c r="N217" s="112"/>
      <c r="O217" s="112"/>
      <c r="P217" s="112"/>
      <c r="Q217" s="113"/>
      <c r="R217" s="6"/>
      <c r="S217" s="101"/>
      <c r="T217" s="112"/>
      <c r="U217" s="112"/>
      <c r="V217" s="112"/>
      <c r="W217" s="113"/>
      <c r="X217" s="6"/>
      <c r="Y217" s="101"/>
      <c r="Z217" s="112"/>
      <c r="AA217" s="112"/>
      <c r="AB217" s="112"/>
      <c r="AC217" s="113"/>
      <c r="AD217" s="6"/>
      <c r="AE217" s="101"/>
      <c r="AF217" s="112"/>
      <c r="AG217" s="112"/>
      <c r="AH217" s="112"/>
      <c r="AI217" s="113"/>
      <c r="AJ217" s="6"/>
      <c r="AK217" s="101"/>
      <c r="AL217" s="112"/>
      <c r="AM217" s="112"/>
      <c r="AN217" s="112"/>
      <c r="AO217" s="113"/>
      <c r="AP217" s="130"/>
    </row>
    <row r="218" spans="1:42" x14ac:dyDescent="0.25">
      <c r="A218" s="101"/>
      <c r="B218" s="112"/>
      <c r="C218" s="112"/>
      <c r="D218" s="112"/>
      <c r="E218" s="113"/>
      <c r="F218" s="128"/>
      <c r="G218" s="101"/>
      <c r="H218" s="112"/>
      <c r="I218" s="112"/>
      <c r="J218" s="112"/>
      <c r="K218" s="113"/>
      <c r="L218" s="130"/>
      <c r="M218" s="101"/>
      <c r="N218" s="112"/>
      <c r="O218" s="112"/>
      <c r="P218" s="112"/>
      <c r="Q218" s="113"/>
      <c r="R218" s="6"/>
      <c r="S218" s="101"/>
      <c r="T218" s="112"/>
      <c r="U218" s="112"/>
      <c r="V218" s="112"/>
      <c r="W218" s="113"/>
      <c r="X218" s="6"/>
      <c r="Y218" s="101"/>
      <c r="Z218" s="112"/>
      <c r="AA218" s="112"/>
      <c r="AB218" s="112"/>
      <c r="AC218" s="113"/>
      <c r="AD218" s="6"/>
      <c r="AE218" s="101"/>
      <c r="AF218" s="112"/>
      <c r="AG218" s="112"/>
      <c r="AH218" s="112"/>
      <c r="AI218" s="113"/>
      <c r="AJ218" s="6"/>
      <c r="AK218" s="101"/>
      <c r="AL218" s="112"/>
      <c r="AM218" s="112"/>
      <c r="AN218" s="112"/>
      <c r="AO218" s="113"/>
      <c r="AP218" s="130"/>
    </row>
    <row r="219" spans="1:42" x14ac:dyDescent="0.25">
      <c r="A219" s="101"/>
      <c r="B219" s="112"/>
      <c r="C219" s="112"/>
      <c r="D219" s="112"/>
      <c r="E219" s="113"/>
      <c r="F219" s="128"/>
      <c r="G219" s="101"/>
      <c r="H219" s="112"/>
      <c r="I219" s="112"/>
      <c r="J219" s="112"/>
      <c r="K219" s="113"/>
      <c r="L219" s="130"/>
      <c r="M219" s="101"/>
      <c r="N219" s="112"/>
      <c r="O219" s="112"/>
      <c r="P219" s="112"/>
      <c r="Q219" s="113"/>
      <c r="R219" s="6"/>
      <c r="S219" s="101"/>
      <c r="T219" s="112"/>
      <c r="U219" s="112"/>
      <c r="V219" s="112"/>
      <c r="W219" s="113"/>
      <c r="X219" s="6"/>
      <c r="Y219" s="101"/>
      <c r="Z219" s="112"/>
      <c r="AA219" s="112"/>
      <c r="AB219" s="112"/>
      <c r="AC219" s="113"/>
      <c r="AD219" s="6"/>
      <c r="AE219" s="101"/>
      <c r="AF219" s="112"/>
      <c r="AG219" s="112"/>
      <c r="AH219" s="112"/>
      <c r="AI219" s="113"/>
      <c r="AJ219" s="6"/>
      <c r="AK219" s="101"/>
      <c r="AL219" s="112"/>
      <c r="AM219" s="112"/>
      <c r="AN219" s="112"/>
      <c r="AO219" s="113"/>
      <c r="AP219" s="130"/>
    </row>
    <row r="220" spans="1:42" x14ac:dyDescent="0.25">
      <c r="A220" s="101"/>
      <c r="B220" s="112"/>
      <c r="C220" s="112"/>
      <c r="D220" s="112"/>
      <c r="E220" s="113"/>
      <c r="F220" s="128"/>
      <c r="G220" s="101"/>
      <c r="H220" s="112"/>
      <c r="I220" s="112"/>
      <c r="J220" s="112"/>
      <c r="K220" s="113"/>
      <c r="L220" s="130"/>
      <c r="M220" s="101"/>
      <c r="N220" s="112"/>
      <c r="O220" s="112"/>
      <c r="P220" s="112"/>
      <c r="Q220" s="113"/>
      <c r="R220" s="6"/>
      <c r="S220" s="101"/>
      <c r="T220" s="112"/>
      <c r="U220" s="112"/>
      <c r="V220" s="112"/>
      <c r="W220" s="113"/>
      <c r="X220" s="6"/>
      <c r="Y220" s="101"/>
      <c r="Z220" s="112"/>
      <c r="AA220" s="112"/>
      <c r="AB220" s="112"/>
      <c r="AC220" s="113"/>
      <c r="AD220" s="6"/>
      <c r="AE220" s="101"/>
      <c r="AF220" s="112"/>
      <c r="AG220" s="112"/>
      <c r="AH220" s="112"/>
      <c r="AI220" s="113"/>
      <c r="AJ220" s="6"/>
      <c r="AK220" s="101"/>
      <c r="AL220" s="112"/>
      <c r="AM220" s="112"/>
      <c r="AN220" s="112"/>
      <c r="AO220" s="113"/>
      <c r="AP220" s="130"/>
    </row>
    <row r="221" spans="1:42" x14ac:dyDescent="0.25">
      <c r="A221" s="101"/>
      <c r="B221" s="112"/>
      <c r="C221" s="112"/>
      <c r="D221" s="112"/>
      <c r="E221" s="113"/>
      <c r="F221" s="128"/>
      <c r="G221" s="101"/>
      <c r="H221" s="112"/>
      <c r="I221" s="112"/>
      <c r="J221" s="112"/>
      <c r="K221" s="113"/>
      <c r="L221" s="130"/>
      <c r="M221" s="101"/>
      <c r="N221" s="112"/>
      <c r="O221" s="112"/>
      <c r="P221" s="112"/>
      <c r="Q221" s="113"/>
      <c r="R221" s="6"/>
      <c r="S221" s="101"/>
      <c r="T221" s="112"/>
      <c r="U221" s="112"/>
      <c r="V221" s="112"/>
      <c r="W221" s="113"/>
      <c r="X221" s="6"/>
      <c r="Y221" s="101"/>
      <c r="Z221" s="112"/>
      <c r="AA221" s="112"/>
      <c r="AB221" s="112"/>
      <c r="AC221" s="113"/>
      <c r="AD221" s="6"/>
      <c r="AE221" s="101"/>
      <c r="AF221" s="112"/>
      <c r="AG221" s="112"/>
      <c r="AH221" s="112"/>
      <c r="AI221" s="113"/>
      <c r="AJ221" s="6"/>
      <c r="AK221" s="101"/>
      <c r="AL221" s="112"/>
      <c r="AM221" s="112"/>
      <c r="AN221" s="112"/>
      <c r="AO221" s="113"/>
      <c r="AP221" s="130"/>
    </row>
    <row r="222" spans="1:42" x14ac:dyDescent="0.25">
      <c r="A222" s="101"/>
      <c r="B222" s="112"/>
      <c r="C222" s="112"/>
      <c r="D222" s="112"/>
      <c r="E222" s="113"/>
      <c r="F222" s="128"/>
      <c r="G222" s="101"/>
      <c r="H222" s="112"/>
      <c r="I222" s="112"/>
      <c r="J222" s="112"/>
      <c r="K222" s="113"/>
      <c r="L222" s="130"/>
      <c r="M222" s="101"/>
      <c r="N222" s="112"/>
      <c r="O222" s="112"/>
      <c r="P222" s="112"/>
      <c r="Q222" s="113"/>
      <c r="R222" s="6"/>
      <c r="S222" s="101"/>
      <c r="T222" s="112"/>
      <c r="U222" s="112"/>
      <c r="V222" s="112"/>
      <c r="W222" s="113"/>
      <c r="X222" s="6"/>
      <c r="Y222" s="101"/>
      <c r="Z222" s="112"/>
      <c r="AA222" s="112"/>
      <c r="AB222" s="112"/>
      <c r="AC222" s="113"/>
      <c r="AD222" s="6"/>
      <c r="AE222" s="101"/>
      <c r="AF222" s="112"/>
      <c r="AG222" s="112"/>
      <c r="AH222" s="112"/>
      <c r="AI222" s="113"/>
      <c r="AJ222" s="6"/>
      <c r="AK222" s="101"/>
      <c r="AL222" s="112"/>
      <c r="AM222" s="112"/>
      <c r="AN222" s="112"/>
      <c r="AO222" s="113"/>
      <c r="AP222" s="130"/>
    </row>
    <row r="223" spans="1:42" x14ac:dyDescent="0.25">
      <c r="A223" s="101"/>
      <c r="B223" s="112"/>
      <c r="C223" s="112"/>
      <c r="D223" s="112"/>
      <c r="E223" s="113"/>
      <c r="F223" s="128"/>
      <c r="G223" s="101"/>
      <c r="H223" s="112"/>
      <c r="I223" s="112"/>
      <c r="J223" s="112"/>
      <c r="K223" s="113"/>
      <c r="L223" s="130"/>
      <c r="M223" s="101"/>
      <c r="N223" s="112"/>
      <c r="O223" s="112"/>
      <c r="P223" s="112"/>
      <c r="Q223" s="113"/>
      <c r="R223" s="6"/>
      <c r="S223" s="101"/>
      <c r="T223" s="112"/>
      <c r="U223" s="112"/>
      <c r="V223" s="112"/>
      <c r="W223" s="113"/>
      <c r="X223" s="6"/>
      <c r="Y223" s="101"/>
      <c r="Z223" s="112"/>
      <c r="AA223" s="112"/>
      <c r="AB223" s="112"/>
      <c r="AC223" s="113"/>
      <c r="AD223" s="6"/>
      <c r="AE223" s="101"/>
      <c r="AF223" s="112"/>
      <c r="AG223" s="112"/>
      <c r="AH223" s="112"/>
      <c r="AI223" s="113"/>
      <c r="AJ223" s="6"/>
      <c r="AK223" s="101"/>
      <c r="AL223" s="112"/>
      <c r="AM223" s="112"/>
      <c r="AN223" s="112"/>
      <c r="AO223" s="113"/>
      <c r="AP223" s="130"/>
    </row>
    <row r="224" spans="1:42" x14ac:dyDescent="0.25">
      <c r="A224" s="101"/>
      <c r="B224" s="112"/>
      <c r="C224" s="112"/>
      <c r="D224" s="112"/>
      <c r="E224" s="113"/>
      <c r="F224" s="128"/>
      <c r="G224" s="101"/>
      <c r="H224" s="112"/>
      <c r="I224" s="112"/>
      <c r="J224" s="112"/>
      <c r="K224" s="113"/>
      <c r="L224" s="130"/>
      <c r="M224" s="101"/>
      <c r="N224" s="112"/>
      <c r="O224" s="112"/>
      <c r="P224" s="112"/>
      <c r="Q224" s="113"/>
      <c r="R224" s="6"/>
      <c r="S224" s="101"/>
      <c r="T224" s="112"/>
      <c r="U224" s="112"/>
      <c r="V224" s="112"/>
      <c r="W224" s="113"/>
      <c r="X224" s="6"/>
      <c r="Y224" s="101"/>
      <c r="Z224" s="112"/>
      <c r="AA224" s="112"/>
      <c r="AB224" s="112"/>
      <c r="AC224" s="113"/>
      <c r="AD224" s="6"/>
      <c r="AE224" s="101"/>
      <c r="AF224" s="112"/>
      <c r="AG224" s="112"/>
      <c r="AH224" s="112"/>
      <c r="AI224" s="113"/>
      <c r="AJ224" s="6"/>
      <c r="AK224" s="101"/>
      <c r="AL224" s="112"/>
      <c r="AM224" s="112"/>
      <c r="AN224" s="112"/>
      <c r="AO224" s="113"/>
      <c r="AP224" s="130"/>
    </row>
  </sheetData>
  <sheetProtection algorithmName="SHA-512" hashValue="yRGR5VHw7mLacNM/AeiGC4am0uWE+SrGTc7pyM0PxNTub0Vq1uFXO2LOsRvNZMXAXZDBqf5wYpDZ3WJLgH/vhw==" saltValue="SNVarVMKFemC3CvYCYNtTA==" spinCount="100000" sheet="1" formatColumns="0" selectLockedCells="1"/>
  <sortState xmlns:xlrd2="http://schemas.microsoft.com/office/spreadsheetml/2017/richdata2" ref="A38:C48">
    <sortCondition ref="A38:A48"/>
  </sortState>
  <mergeCells count="16">
    <mergeCell ref="AN24:AO24"/>
    <mergeCell ref="A1:K1"/>
    <mergeCell ref="A3:K3"/>
    <mergeCell ref="V24:W24"/>
    <mergeCell ref="Z5:AC5"/>
    <mergeCell ref="AB24:AC24"/>
    <mergeCell ref="AF5:AI5"/>
    <mergeCell ref="AH24:AI24"/>
    <mergeCell ref="D24:E24"/>
    <mergeCell ref="J24:K24"/>
    <mergeCell ref="P24:Q24"/>
    <mergeCell ref="B5:E5"/>
    <mergeCell ref="H5:K5"/>
    <mergeCell ref="N5:Q5"/>
    <mergeCell ref="T5:W5"/>
    <mergeCell ref="AL5:AO5"/>
  </mergeCells>
  <phoneticPr fontId="16" type="noConversion"/>
  <pageMargins left="0.7" right="0.7" top="0.78740157499999996" bottom="0.78740157499999996" header="0.3" footer="0.3"/>
  <pageSetup paperSize="9" orientation="portrait" verticalDpi="0" r:id="rId1"/>
  <drawing r:id="rId2"/>
  <tableParts count="7">
    <tablePart r:id="rId3"/>
    <tablePart r:id="rId4"/>
    <tablePart r:id="rId5"/>
    <tablePart r:id="rId6"/>
    <tablePart r:id="rId7"/>
    <tablePart r:id="rId8"/>
    <tablePart r:id="rId9"/>
  </tableParts>
  <extLst>
    <ext xmlns:x14="http://schemas.microsoft.com/office/spreadsheetml/2009/9/main" uri="{78C0D931-6437-407d-A8EE-F0AAD7539E65}">
      <x14:conditionalFormattings>
        <x14:conditionalFormatting xmlns:xm="http://schemas.microsoft.com/office/excel/2006/main">
          <x14:cfRule type="iconSet" priority="6" id="{B38E737A-7350-4BAB-AB22-6A3A064C22D6}">
            <x14:iconSet showValue="0" custom="1">
              <x14:cfvo type="percent">
                <xm:f>0</xm:f>
              </x14:cfvo>
              <x14:cfvo type="num">
                <xm:f>1</xm:f>
              </x14:cfvo>
              <x14:cfvo type="num">
                <xm:f>2</xm:f>
              </x14:cfvo>
              <x14:cfIcon iconSet="3Symbols" iconId="0"/>
              <x14:cfIcon iconSet="3Symbols" iconId="2"/>
              <x14:cfIcon iconSet="4RedToBlack" iconId="1"/>
            </x14:iconSet>
          </x14:cfRule>
          <xm:sqref>F5 L5 R5 X5 AD5 AJ5 AP5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1328E-77BD-4305-A935-9E3DEFF897BE}">
  <sheetPr codeName="TAB71"/>
  <dimension ref="A1:AP13"/>
  <sheetViews>
    <sheetView workbookViewId="0"/>
  </sheetViews>
  <sheetFormatPr defaultColWidth="9.140625" defaultRowHeight="15" x14ac:dyDescent="0.25"/>
  <cols>
    <col min="2" max="2" width="11.42578125" bestFit="1" customWidth="1"/>
    <col min="8" max="8" width="11.42578125" bestFit="1" customWidth="1"/>
    <col min="14" max="14" width="11.42578125" bestFit="1" customWidth="1"/>
    <col min="20" max="20" width="11.42578125" bestFit="1" customWidth="1"/>
    <col min="26" max="26" width="11.42578125" bestFit="1" customWidth="1"/>
    <col min="32" max="32" width="11.42578125" bestFit="1" customWidth="1"/>
    <col min="38" max="38" width="11.42578125" bestFit="1" customWidth="1"/>
  </cols>
  <sheetData>
    <row r="1" spans="1:42" x14ac:dyDescent="0.25">
      <c r="A1" t="str">
        <f>LASTGÄNGE!B5</f>
        <v>Prozess A</v>
      </c>
      <c r="B1">
        <f>IF(SUM(ProzessA[])=0,2,
  IF(
    _xlfn.LET(
      _xlpm.FILLED_MINS,    COUNTIF(ProzessA[Minuten],"&gt;0")+1,
      _xlpm.FILLED_POWER,   COUNTIF(ProzessA[Name '[Einheit']],"&gt;=0"),
      _xlpm.FILLED_PRODUCT, COUNTIF(ProzessA[Batchsize '[Stk.']],"&gt;=0"),
      AND(_xlpm.FILLED_MINS &gt; 1, _xlpm.FILLED_MINS=_xlpm.FILLED_POWER, _xlpm.FILLED_MINS=_xlpm.FILLED_PRODUCT)
    ),
    1,
    0
  )
)</f>
        <v>2</v>
      </c>
      <c r="G1" t="str">
        <f>LASTGÄNGE!H5</f>
        <v>Prozess B</v>
      </c>
      <c r="H1">
        <f>IF(SUM(ProzessB[])=0,2,
  IF(
    _xlfn.LET(
      _xlpm.FILLED_MINS,    COUNTIF(ProzessB[Minuten],"&gt;0")+1,
      _xlpm.FILLED_POWER,   COUNTIF(ProzessB[Name '[Einheit']],"&gt;=0"),
      _xlpm.FILLED_PRODUCT, COUNTIF(ProzessB[Batchsize '[Stk.']],"&gt;=0"),
      AND(_xlpm.FILLED_MINS &gt; 1, _xlpm.FILLED_MINS=_xlpm.FILLED_POWER, _xlpm.FILLED_MINS=_xlpm.FILLED_PRODUCT)
    ),
    1,
    0
  )
)</f>
        <v>2</v>
      </c>
      <c r="M1" t="str">
        <f>LASTGÄNGE!N5</f>
        <v>Prozess C</v>
      </c>
      <c r="N1">
        <f>IF(SUM(ProzessC[])=0,2,
  IF(
    _xlfn.LET(
      _xlpm.FILLED_MINS,    COUNTIF(ProzessC[Minuten],"&gt;0")+1,
      _xlpm.FILLED_POWER,   COUNTIF(ProzessC[Name '[Einheit']],"&gt;=0"),
      _xlpm.FILLED_PRODUCT, COUNTIF(ProzessC[Batchsize '[Stk.']],"&gt;=0"),
      AND(_xlpm.FILLED_MINS &gt; 1, _xlpm.FILLED_MINS=_xlpm.FILLED_POWER, _xlpm.FILLED_MINS=_xlpm.FILLED_PRODUCT)
    ),
    1,
    0
  )
)</f>
        <v>2</v>
      </c>
      <c r="S1" t="str">
        <f>LASTGÄNGE!T5</f>
        <v>Prozess D</v>
      </c>
      <c r="T1">
        <f>IF(SUM(ProzessD[])=0,2,
  IF(
    _xlfn.LET(
      _xlpm.FILLED_MINS,    COUNTIF(ProzessD[Minuten],"&gt;0")+1,
      _xlpm.FILLED_POWER,   COUNTIF(ProzessD[Name '[Einheit']],"&gt;=0"),
      _xlpm.FILLED_PRODUCT, COUNTIF(ProzessD[Batchsize '[Stk.']],"&gt;=0"),
      AND(_xlpm.FILLED_MINS &gt; 1, _xlpm.FILLED_MINS=_xlpm.FILLED_POWER, _xlpm.FILLED_MINS=_xlpm.FILLED_PRODUCT)
    ),
    1,
    0
  )
)</f>
        <v>2</v>
      </c>
      <c r="Y1" t="str">
        <f>LASTGÄNGE!Z5</f>
        <v>Prozess E</v>
      </c>
      <c r="Z1">
        <f>IF(SUM(ProzessE[])=0,2,
  IF(
    _xlfn.LET(
      _xlpm.FILLED_MINS,    COUNTIF(ProzessE[Minuten],"&gt;0")+1,
      _xlpm.FILLED_POWER,   COUNTIF(ProzessE[Name '[Einheit']],"&gt;=0"),
      _xlpm.FILLED_PRODUCT, COUNTIF(ProzessE[Batchsize '[Stk.']],"&gt;=0"),
      AND(_xlpm.FILLED_MINS &gt; 1, _xlpm.FILLED_MINS=_xlpm.FILLED_POWER, _xlpm.FILLED_MINS=_xlpm.FILLED_PRODUCT)
    ),
    1,
    0
  )
)</f>
        <v>2</v>
      </c>
      <c r="AE1" t="str">
        <f>LASTGÄNGE!AF5</f>
        <v>Prozess F</v>
      </c>
      <c r="AF1">
        <f>IF(SUM(ProzessF[])=0,2,
  IF(
    _xlfn.LET(
      _xlpm.FILLED_MINS,    COUNTIF(ProzessF[Minuten],"&gt;0")+1,
      _xlpm.FILLED_POWER,   COUNTIF(ProzessF[Name '[Einheit']],"&gt;=0"),
      _xlpm.FILLED_PRODUCT, COUNTIF(ProzessF[Batchsize '[Stk.']],"&gt;=0"),
      AND(_xlpm.FILLED_MINS &gt; 1, _xlpm.FILLED_MINS=_xlpm.FILLED_POWER, _xlpm.FILLED_MINS=_xlpm.FILLED_PRODUCT)
    ),
    1,
    0
  )
)</f>
        <v>2</v>
      </c>
      <c r="AK1" t="str">
        <f>LASTGÄNGE!AL5</f>
        <v>Prozess G</v>
      </c>
      <c r="AL1">
        <f>IF(SUM(ProzessG[])=0,2,
  IF(
    _xlfn.LET(
      _xlpm.FILLED_MINS,    COUNTIF(ProzessG[Minuten],"&gt;0")+1,
      _xlpm.FILLED_POWER,   COUNTIF(ProzessG[Name '[Einheit']],"&gt;=0"),
      _xlpm.FILLED_PRODUCT, COUNTIF(ProzessG[Batchsize '[Stk.']],"&gt;=0"),
      AND(_xlpm.FILLED_MINS &gt; 1, _xlpm.FILLED_MINS=_xlpm.FILLED_POWER, _xlpm.FILLED_MINS=_xlpm.FILLED_PRODUCT)
    ),
    1,
    0
  )
)</f>
        <v>2</v>
      </c>
    </row>
    <row r="2" spans="1:42" x14ac:dyDescent="0.25">
      <c r="A2" t="s">
        <v>165</v>
      </c>
      <c r="B2" t="str" cm="1">
        <f t="array" ref="B2:F2">ProzessA[#Headers]</f>
        <v>Minuten</v>
      </c>
      <c r="C2" t="str">
        <v>Name [Einheit]</v>
      </c>
      <c r="D2" t="str">
        <v>Batchsize [Stk.]</v>
      </c>
      <c r="E2" t="str">
        <v>Name1 [Einheit]</v>
      </c>
      <c r="F2" t="str">
        <v>Name2 [Einheit]</v>
      </c>
      <c r="G2" t="s">
        <v>165</v>
      </c>
      <c r="H2" t="str" cm="1">
        <f t="array" ref="H2:L2">ProzessB[#Headers]</f>
        <v>Minuten</v>
      </c>
      <c r="I2" t="str">
        <v>Name [Einheit]</v>
      </c>
      <c r="J2" t="str">
        <v>Batchsize [Stk.]</v>
      </c>
      <c r="K2" t="str">
        <v>Name1 [Einheit]</v>
      </c>
      <c r="L2" t="str">
        <v>Name2 [Einheit]</v>
      </c>
      <c r="M2" t="s">
        <v>165</v>
      </c>
      <c r="N2" t="str" cm="1">
        <f t="array" ref="N2:R2">ProzessC[#Headers]</f>
        <v>Minuten</v>
      </c>
      <c r="O2" t="str">
        <v>Name [Einheit]</v>
      </c>
      <c r="P2" t="str">
        <v>Batchsize [Stk.]</v>
      </c>
      <c r="Q2" t="str">
        <v>Name1 [Einheit]</v>
      </c>
      <c r="R2" t="str">
        <v>Name2 [Einheit]</v>
      </c>
      <c r="S2" t="s">
        <v>165</v>
      </c>
      <c r="T2" t="str" cm="1">
        <f t="array" ref="T2:X2">ProzessD[#Headers]</f>
        <v>Minuten</v>
      </c>
      <c r="U2" t="str">
        <v>Name [Einheit]</v>
      </c>
      <c r="V2" t="str">
        <v>Batchsize [Stk.]</v>
      </c>
      <c r="W2" t="str">
        <v>Name1 [Einheit]</v>
      </c>
      <c r="X2" t="str">
        <v>Name2 [Einheit]</v>
      </c>
      <c r="Y2" t="s">
        <v>165</v>
      </c>
      <c r="Z2" t="str" cm="1">
        <f t="array" ref="Z2:AD2">ProzessE[#Headers]</f>
        <v>Minuten</v>
      </c>
      <c r="AA2" t="str">
        <v>Name [Einheit]</v>
      </c>
      <c r="AB2" t="str">
        <v>Batchsize [Stk.]</v>
      </c>
      <c r="AC2" t="str">
        <v>Name1 [Einheit]</v>
      </c>
      <c r="AD2" t="str">
        <v>Name2 [Einheit]</v>
      </c>
      <c r="AE2" t="s">
        <v>165</v>
      </c>
      <c r="AF2" t="str" cm="1">
        <f t="array" ref="AF2:AJ2">ProzessF[#Headers]</f>
        <v>Minuten</v>
      </c>
      <c r="AG2" t="str">
        <v>Name [Einheit]</v>
      </c>
      <c r="AH2" t="str">
        <v>Batchsize [Stk.]</v>
      </c>
      <c r="AI2" t="str">
        <v>Name1 [Einheit]</v>
      </c>
      <c r="AJ2" t="str">
        <v>Name2 [Einheit]</v>
      </c>
      <c r="AK2" t="s">
        <v>165</v>
      </c>
      <c r="AL2" t="str" cm="1">
        <f t="array" ref="AL2:AP2">ProzessG[#Headers]</f>
        <v>Minuten</v>
      </c>
      <c r="AM2" t="str">
        <v>Name [Einheit]</v>
      </c>
      <c r="AN2" t="str">
        <v>Batchsize [Stk.]</v>
      </c>
      <c r="AO2" t="str">
        <v>Name1 [Einheit]</v>
      </c>
      <c r="AP2" t="str">
        <v>Name2 [Einheit]</v>
      </c>
    </row>
    <row r="3" spans="1:42" x14ac:dyDescent="0.25">
      <c r="A3" s="26" cm="1">
        <f t="array" ref="A3:F3">_xlfn.LET(
  _xlpm.Original_Table, ProzessA[],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B3">
        <v>0</v>
      </c>
      <c r="C3">
        <v>0</v>
      </c>
      <c r="D3">
        <v>0</v>
      </c>
      <c r="E3" s="25">
        <v>0</v>
      </c>
      <c r="F3">
        <v>0</v>
      </c>
      <c r="G3" s="26" cm="1">
        <f t="array" ref="G3:L3">_xlfn.LET(
  _xlpm.Original_Table, ProzessB[],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H3">
        <v>0</v>
      </c>
      <c r="I3">
        <v>0</v>
      </c>
      <c r="J3">
        <v>0</v>
      </c>
      <c r="K3" s="25">
        <v>0</v>
      </c>
      <c r="L3">
        <v>0</v>
      </c>
      <c r="M3" s="26" cm="1">
        <f t="array" ref="M3:R3">_xlfn.LET(
  _xlpm.Original_Table, ProzessC[],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N3">
        <v>0</v>
      </c>
      <c r="O3">
        <v>0</v>
      </c>
      <c r="P3">
        <v>0</v>
      </c>
      <c r="Q3" s="25">
        <v>0</v>
      </c>
      <c r="R3">
        <v>0</v>
      </c>
      <c r="S3" s="26" cm="1">
        <f t="array" ref="S3:X3">_xlfn.LET(
  _xlpm.Original_Table, ProzessD[],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T3">
        <v>0</v>
      </c>
      <c r="U3">
        <v>0</v>
      </c>
      <c r="V3">
        <v>0</v>
      </c>
      <c r="W3" s="25">
        <v>0</v>
      </c>
      <c r="X3">
        <v>0</v>
      </c>
      <c r="Y3" s="26" cm="1">
        <f t="array" ref="Y3:AD3">_xlfn.LET(
  _xlpm.Original_Table, ProzessE[],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Z3">
        <v>0</v>
      </c>
      <c r="AA3">
        <v>0</v>
      </c>
      <c r="AB3">
        <v>0</v>
      </c>
      <c r="AC3" s="25">
        <v>0</v>
      </c>
      <c r="AD3">
        <v>0</v>
      </c>
      <c r="AE3" s="26" cm="1">
        <f t="array" ref="AE3:AJ3">_xlfn.LET(
  _xlpm.Original_Table, ProzessF[],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AF3">
        <v>0</v>
      </c>
      <c r="AG3">
        <v>0</v>
      </c>
      <c r="AH3">
        <v>0</v>
      </c>
      <c r="AI3" s="25">
        <v>0</v>
      </c>
      <c r="AJ3">
        <v>0</v>
      </c>
      <c r="AK3" s="26" cm="1">
        <f t="array" ref="AK3:AP3">_xlfn.LET(
  _xlpm.Original_Table, ProzessG[],
  _xlpm.Filtered_Table, _xlfn._xlws.FILTER(_xlpm.Original_Table, _xlfn.BYROW(_xlpm.Original_Table, _xlfn.LAMBDA(_xlpm.row, SUM(_xlpm.row)&gt;0))),
  _xlpm.Processed_Table,
  _xlfn.VSTACK(
    _xlfn.LET(
      _xlpm.T, _xlpm.Filtered_Table,
      _xlfn.HSTACK(0*_xlfn.SEQUENCE(ROWS(_xlpm.T),,0),_xlpm.T)
    ),
    _xlfn.LET(
      _xlpm.T, _xlpm.Filtered_Table,
      _xlpm.n, ROWS(_xlpm.T),
      _xlpm.m, COLUMNS(_xlpm.T),
      _xlpm.col1_shifted, INDEX(INDEX(_xlpm.T,,1), _xlfn.SEQUENCE(_xlpm.n-1)+1),
      _xlpm.other_cols, _xlfn.DROP(_xlpm.T,,1),
      _xlpm.shifted_others, INDEX(_xlpm.other_cols, _xlfn.SEQUENCE(_xlpm.n-1), _xlfn.SEQUENCE(, _xlpm.m-1)),
      _xlfn.HSTACK(1+0*_xlfn.SEQUENCE(_xlpm.n-1,,1), _xlpm.col1_shifted, _xlpm.shifted_others)
    )
  ),
  _xlpm.Sorted_Table, _xlfn.SORTBY(_xlpm.Processed_Table,INDEX(_xlpm.Processed_Table,0,2),1,INDEX(_xlpm.Processed_Table,0,1),-1),
  IFERROR(_xlpm.Sorted_Table, 0*_xlfn.SEQUENCE(1, COLUMNS(_xlpm.Original_Table)+1))
)</f>
        <v>0</v>
      </c>
      <c r="AL3">
        <v>0</v>
      </c>
      <c r="AM3">
        <v>0</v>
      </c>
      <c r="AN3">
        <v>0</v>
      </c>
      <c r="AO3" s="25">
        <v>0</v>
      </c>
      <c r="AP3">
        <v>0</v>
      </c>
    </row>
    <row r="4" spans="1:42" x14ac:dyDescent="0.25">
      <c r="A4" s="26"/>
      <c r="B4" s="7"/>
      <c r="E4" s="25"/>
      <c r="G4" s="26"/>
      <c r="H4" s="7"/>
      <c r="K4" s="25"/>
      <c r="M4" s="26"/>
      <c r="N4" s="7"/>
      <c r="Q4" s="25"/>
      <c r="S4" s="26"/>
      <c r="T4" s="7"/>
      <c r="W4" s="25"/>
      <c r="Y4" s="26"/>
      <c r="Z4" s="7"/>
      <c r="AC4" s="25"/>
      <c r="AE4" s="26"/>
      <c r="AF4" s="7"/>
      <c r="AI4" s="25"/>
      <c r="AK4" s="26"/>
      <c r="AL4" s="7"/>
      <c r="AO4" s="25"/>
    </row>
    <row r="5" spans="1:42" x14ac:dyDescent="0.25">
      <c r="A5" s="26"/>
      <c r="B5" s="7"/>
      <c r="E5" s="25"/>
      <c r="G5" s="26"/>
      <c r="H5" s="7"/>
      <c r="K5" s="25"/>
      <c r="M5" s="26"/>
      <c r="N5" s="7"/>
      <c r="Q5" s="25"/>
      <c r="S5" s="26"/>
      <c r="T5" s="7"/>
      <c r="W5" s="25"/>
      <c r="Y5" s="26"/>
      <c r="Z5" s="7"/>
      <c r="AC5" s="25"/>
      <c r="AE5" s="26"/>
      <c r="AF5" s="7"/>
      <c r="AI5" s="25"/>
      <c r="AK5" s="26"/>
      <c r="AL5" s="7"/>
      <c r="AO5" s="25"/>
    </row>
    <row r="6" spans="1:42" x14ac:dyDescent="0.25">
      <c r="A6" s="26"/>
      <c r="B6" s="7"/>
      <c r="E6" s="25"/>
      <c r="G6" s="26"/>
      <c r="H6" s="7"/>
      <c r="K6" s="25"/>
      <c r="M6" s="26"/>
      <c r="N6" s="7"/>
      <c r="Q6" s="25"/>
      <c r="S6" s="26"/>
      <c r="T6" s="7"/>
      <c r="W6" s="25"/>
      <c r="Y6" s="26"/>
      <c r="Z6" s="7"/>
      <c r="AC6" s="25"/>
      <c r="AE6" s="26"/>
      <c r="AF6" s="7"/>
      <c r="AI6" s="25"/>
      <c r="AK6" s="26"/>
      <c r="AL6" s="7"/>
      <c r="AO6" s="25"/>
    </row>
    <row r="7" spans="1:42" x14ac:dyDescent="0.25">
      <c r="A7" s="26"/>
      <c r="B7" s="7"/>
      <c r="E7" s="25"/>
      <c r="G7" s="26"/>
      <c r="H7" s="7"/>
      <c r="K7" s="25"/>
      <c r="M7" s="26"/>
      <c r="N7" s="7"/>
      <c r="Q7" s="25"/>
      <c r="S7" s="26"/>
      <c r="T7" s="7"/>
      <c r="W7" s="25"/>
      <c r="Y7" s="26"/>
      <c r="Z7" s="7"/>
      <c r="AC7" s="25"/>
      <c r="AE7" s="26"/>
      <c r="AF7" s="7"/>
      <c r="AI7" s="25"/>
      <c r="AK7" s="26"/>
      <c r="AL7" s="7"/>
      <c r="AO7" s="25"/>
    </row>
    <row r="8" spans="1:42" x14ac:dyDescent="0.25">
      <c r="A8" s="26"/>
      <c r="B8" s="7"/>
      <c r="E8" s="25"/>
      <c r="G8" s="26"/>
      <c r="H8" s="7"/>
      <c r="K8" s="25"/>
      <c r="M8" s="26"/>
      <c r="N8" s="7"/>
      <c r="Q8" s="25"/>
      <c r="S8" s="26"/>
      <c r="T8" s="7"/>
      <c r="W8" s="25"/>
      <c r="Y8" s="26"/>
      <c r="Z8" s="7"/>
      <c r="AC8" s="25"/>
      <c r="AE8" s="26"/>
      <c r="AF8" s="7"/>
      <c r="AI8" s="25"/>
      <c r="AK8" s="26"/>
      <c r="AL8" s="7"/>
      <c r="AO8" s="25"/>
    </row>
    <row r="9" spans="1:42" x14ac:dyDescent="0.25">
      <c r="A9" s="26"/>
      <c r="B9" s="7"/>
      <c r="E9" s="25"/>
      <c r="G9" s="26"/>
      <c r="H9" s="7"/>
      <c r="K9" s="25"/>
      <c r="M9" s="26"/>
      <c r="N9" s="7"/>
      <c r="Q9" s="25"/>
      <c r="S9" s="26"/>
      <c r="T9" s="7"/>
      <c r="W9" s="25"/>
      <c r="Y9" s="26"/>
      <c r="Z9" s="7"/>
      <c r="AC9" s="25"/>
      <c r="AE9" s="26"/>
      <c r="AF9" s="7"/>
      <c r="AI9" s="25"/>
      <c r="AK9" s="26"/>
      <c r="AL9" s="7"/>
      <c r="AO9" s="25"/>
    </row>
    <row r="10" spans="1:42" x14ac:dyDescent="0.25">
      <c r="A10" s="26"/>
      <c r="E10" s="25"/>
      <c r="G10" s="26"/>
      <c r="K10" s="25"/>
      <c r="M10" s="26"/>
      <c r="Q10" s="25"/>
      <c r="S10" s="26"/>
      <c r="W10" s="25"/>
      <c r="Y10" s="26"/>
      <c r="AC10" s="25"/>
      <c r="AE10" s="26"/>
      <c r="AI10" s="25"/>
      <c r="AK10" s="26"/>
      <c r="AO10" s="25"/>
    </row>
    <row r="11" spans="1:42" x14ac:dyDescent="0.25">
      <c r="A11" s="26"/>
      <c r="E11" s="25"/>
      <c r="G11" s="26"/>
      <c r="K11" s="25"/>
      <c r="M11" s="26"/>
      <c r="Q11" s="25"/>
      <c r="S11" s="26"/>
      <c r="W11" s="25"/>
      <c r="Y11" s="26"/>
      <c r="AC11" s="25"/>
      <c r="AE11" s="26"/>
      <c r="AI11" s="25"/>
      <c r="AK11" s="26"/>
      <c r="AO11" s="25"/>
    </row>
    <row r="12" spans="1:42" x14ac:dyDescent="0.25">
      <c r="A12" s="26"/>
      <c r="E12" s="25"/>
      <c r="G12" s="26"/>
      <c r="K12" s="25"/>
      <c r="M12" s="26"/>
      <c r="Q12" s="25"/>
      <c r="S12" s="26"/>
      <c r="W12" s="25"/>
      <c r="Y12" s="26"/>
      <c r="AC12" s="25"/>
      <c r="AE12" s="26"/>
      <c r="AI12" s="25"/>
      <c r="AK12" s="26"/>
      <c r="AO12" s="25"/>
    </row>
    <row r="13" spans="1:42" x14ac:dyDescent="0.25">
      <c r="A13" s="26"/>
      <c r="G13" s="26"/>
      <c r="M13" s="26"/>
      <c r="S13" s="26"/>
      <c r="Y13" s="26"/>
      <c r="AE13" s="26"/>
      <c r="AK13" s="26"/>
    </row>
  </sheetData>
  <sheetProtection algorithmName="SHA-512" hashValue="Fp5OydIJQR98f9NvQlxBsQQXo+5vOULdWnap4i46/HDpJJXQRcwEes4+WIrhltX9prG3nyUDvv310FuOmqTB5Q==" saltValue="zi0T7wxrR7kvWddbvP4YQA==" spinCount="100000" sheet="1" selectLockedCells="1" selectUnlockedCells="1"/>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9A390-1629-431F-B910-10FC7AAAA4FD}">
  <sheetPr codeName="TAB72"/>
  <dimension ref="A1:AP3"/>
  <sheetViews>
    <sheetView workbookViewId="0"/>
  </sheetViews>
  <sheetFormatPr defaultColWidth="11.42578125" defaultRowHeight="15" x14ac:dyDescent="0.25"/>
  <cols>
    <col min="1" max="5" width="11.42578125" style="134"/>
    <col min="6" max="6" width="15" style="134" bestFit="1" customWidth="1"/>
    <col min="7" max="7" width="4.28515625" style="134" customWidth="1"/>
    <col min="8" max="12" width="11.42578125" style="134"/>
    <col min="13" max="13" width="4.28515625" style="134" customWidth="1"/>
    <col min="14" max="18" width="11.42578125" style="134"/>
    <col min="19" max="19" width="4.28515625" style="134" customWidth="1"/>
    <col min="20" max="24" width="11.42578125" style="134"/>
    <col min="25" max="25" width="4.28515625" style="134" customWidth="1"/>
    <col min="26" max="30" width="11.42578125" style="134"/>
    <col min="31" max="31" width="4.28515625" style="134" customWidth="1"/>
    <col min="32" max="36" width="11.42578125" style="134"/>
    <col min="37" max="37" width="4.28515625" style="134" customWidth="1"/>
    <col min="38" max="16384" width="11.42578125" style="134"/>
  </cols>
  <sheetData>
    <row r="1" spans="1:42" customFormat="1" x14ac:dyDescent="0.25">
      <c r="A1" t="str">
        <f>LASTGÄNGE!$B$5</f>
        <v>Prozess A</v>
      </c>
      <c r="B1" t="str" cm="1">
        <f t="array" ref="B1:F1">ProzessA[#Headers]</f>
        <v>Minuten</v>
      </c>
      <c r="C1" t="str">
        <v>Name [Einheit]</v>
      </c>
      <c r="D1" t="str">
        <v>Batchsize [Stk.]</v>
      </c>
      <c r="E1" t="str">
        <v>Name1 [Einheit]</v>
      </c>
      <c r="F1" t="str">
        <v>Name2 [Einheit]</v>
      </c>
      <c r="G1" t="str">
        <f>LASTGÄNGE!$H$5</f>
        <v>Prozess B</v>
      </c>
      <c r="H1" t="str" cm="1">
        <f t="array" ref="H1:L1">ProzessB[#Headers]</f>
        <v>Minuten</v>
      </c>
      <c r="I1" t="str">
        <v>Name [Einheit]</v>
      </c>
      <c r="J1" t="str">
        <v>Batchsize [Stk.]</v>
      </c>
      <c r="K1" t="str">
        <v>Name1 [Einheit]</v>
      </c>
      <c r="L1" t="str">
        <v>Name2 [Einheit]</v>
      </c>
      <c r="M1" t="str">
        <f>LASTGÄNGE!$N$5</f>
        <v>Prozess C</v>
      </c>
      <c r="N1" t="str" cm="1">
        <f t="array" ref="N1:R1">ProzessC[#Headers]</f>
        <v>Minuten</v>
      </c>
      <c r="O1" t="str">
        <v>Name [Einheit]</v>
      </c>
      <c r="P1" t="str">
        <v>Batchsize [Stk.]</v>
      </c>
      <c r="Q1" t="str">
        <v>Name1 [Einheit]</v>
      </c>
      <c r="R1" t="str">
        <v>Name2 [Einheit]</v>
      </c>
      <c r="S1" t="str">
        <f>LASTGÄNGE!$T$5</f>
        <v>Prozess D</v>
      </c>
      <c r="T1" t="str" cm="1">
        <f t="array" ref="T1:X1">ProzessD[#Headers]</f>
        <v>Minuten</v>
      </c>
      <c r="U1" t="str">
        <v>Name [Einheit]</v>
      </c>
      <c r="V1" t="str">
        <v>Batchsize [Stk.]</v>
      </c>
      <c r="W1" t="str">
        <v>Name1 [Einheit]</v>
      </c>
      <c r="X1" t="str">
        <v>Name2 [Einheit]</v>
      </c>
      <c r="Y1" t="str">
        <f>LASTGÄNGE!$Z$5</f>
        <v>Prozess E</v>
      </c>
      <c r="Z1" t="str" cm="1">
        <f t="array" ref="Z1:AD1">ProzessE[#Headers]</f>
        <v>Minuten</v>
      </c>
      <c r="AA1" t="str">
        <v>Name [Einheit]</v>
      </c>
      <c r="AB1" t="str">
        <v>Batchsize [Stk.]</v>
      </c>
      <c r="AC1" t="str">
        <v>Name1 [Einheit]</v>
      </c>
      <c r="AD1" t="str">
        <v>Name2 [Einheit]</v>
      </c>
      <c r="AE1" t="str">
        <f>LASTGÄNGE!$AF$5</f>
        <v>Prozess F</v>
      </c>
      <c r="AF1" t="str" cm="1">
        <f t="array" ref="AF1:AJ1">ProzessF[#Headers]</f>
        <v>Minuten</v>
      </c>
      <c r="AG1" t="str">
        <v>Name [Einheit]</v>
      </c>
      <c r="AH1" t="str">
        <v>Batchsize [Stk.]</v>
      </c>
      <c r="AI1" t="str">
        <v>Name1 [Einheit]</v>
      </c>
      <c r="AJ1" t="str">
        <v>Name2 [Einheit]</v>
      </c>
      <c r="AK1" t="str">
        <f>LASTGÄNGE!$AL$5</f>
        <v>Prozess G</v>
      </c>
      <c r="AL1" t="str" cm="1">
        <f t="array" ref="AL1:AP1">ProzessG[#Headers]</f>
        <v>Minuten</v>
      </c>
      <c r="AM1" t="str">
        <v>Name [Einheit]</v>
      </c>
      <c r="AN1" t="str">
        <v>Batchsize [Stk.]</v>
      </c>
      <c r="AO1" t="str">
        <v>Name1 [Einheit]</v>
      </c>
      <c r="AP1" t="str">
        <v>Name2 [Einheit]</v>
      </c>
    </row>
    <row r="2" spans="1:42" x14ac:dyDescent="0.25">
      <c r="B2" s="134" cm="1">
        <f t="array" ref="B2:F3">_xlfn.LET(_xlpm.Original_Table,ProzessA[],_xlpm.Filtered_Table,_xlfn._xlws.FILTER(_xlpm.Original_Table, _xlfn.BYROW(_xlpm.Original_Table, _xlfn.LAMBDA(_xlpm.row, SUM(_xlpm.row)&gt;0))),IFERROR(_xlpm.Filtered_Table,_xlfn.SEQUENCE(2,COLUMNS(_xlpm.Original_Table))*0))</f>
        <v>0</v>
      </c>
      <c r="C2" s="134">
        <v>0</v>
      </c>
      <c r="D2" s="134">
        <v>0</v>
      </c>
      <c r="E2" s="134">
        <v>0</v>
      </c>
      <c r="F2" s="134">
        <v>0</v>
      </c>
      <c r="H2" s="134" cm="1">
        <f t="array" ref="H2:L3">_xlfn.LET(_xlpm.Original_Table,ProzessB[],_xlpm.Filtered_Table,_xlfn._xlws.FILTER(_xlpm.Original_Table, _xlfn.BYROW(_xlpm.Original_Table, _xlfn.LAMBDA(_xlpm.row, SUM(_xlpm.row)&gt;0))),IFERROR(_xlpm.Filtered_Table,_xlfn.SEQUENCE(2,COLUMNS(_xlpm.Original_Table))*0))</f>
        <v>0</v>
      </c>
      <c r="I2" s="134">
        <v>0</v>
      </c>
      <c r="J2" s="134">
        <v>0</v>
      </c>
      <c r="K2" s="134">
        <v>0</v>
      </c>
      <c r="L2" s="134">
        <v>0</v>
      </c>
      <c r="N2" s="134" cm="1">
        <f t="array" ref="N2:R3">_xlfn.LET(_xlpm.Original_Table,ProzessC[],_xlpm.Filtered_Table,_xlfn._xlws.FILTER(_xlpm.Original_Table, _xlfn.BYROW(_xlpm.Original_Table, _xlfn.LAMBDA(_xlpm.row, SUM(_xlpm.row)&gt;0))),IFERROR(_xlpm.Filtered_Table,_xlfn.SEQUENCE(2,COLUMNS(_xlpm.Original_Table))*0))</f>
        <v>0</v>
      </c>
      <c r="O2" s="134">
        <v>0</v>
      </c>
      <c r="P2" s="134">
        <v>0</v>
      </c>
      <c r="Q2" s="134">
        <v>0</v>
      </c>
      <c r="R2" s="134">
        <v>0</v>
      </c>
      <c r="T2" s="134" cm="1">
        <f t="array" ref="T2:X3">_xlfn.LET(_xlpm.Original_Table,ProzessD[],_xlpm.Filtered_Table,_xlfn._xlws.FILTER(_xlpm.Original_Table, _xlfn.BYROW(_xlpm.Original_Table, _xlfn.LAMBDA(_xlpm.row, SUM(_xlpm.row)&gt;0))),IFERROR(_xlpm.Filtered_Table,_xlfn.SEQUENCE(2,COLUMNS(_xlpm.Original_Table))*0))</f>
        <v>0</v>
      </c>
      <c r="U2" s="134">
        <v>0</v>
      </c>
      <c r="V2" s="134">
        <v>0</v>
      </c>
      <c r="W2" s="134">
        <v>0</v>
      </c>
      <c r="X2" s="134">
        <v>0</v>
      </c>
      <c r="Z2" s="134" cm="1">
        <f t="array" ref="Z2:AD3">_xlfn.LET(_xlpm.Original_Table,ProzessE[],_xlpm.Filtered_Table,_xlfn._xlws.FILTER(_xlpm.Original_Table, _xlfn.BYROW(_xlpm.Original_Table, _xlfn.LAMBDA(_xlpm.row, SUM(_xlpm.row)&gt;0))),IFERROR(_xlpm.Filtered_Table,_xlfn.SEQUENCE(2,COLUMNS(_xlpm.Original_Table))*0))</f>
        <v>0</v>
      </c>
      <c r="AA2" s="134">
        <v>0</v>
      </c>
      <c r="AB2" s="134">
        <v>0</v>
      </c>
      <c r="AC2" s="134">
        <v>0</v>
      </c>
      <c r="AD2" s="134">
        <v>0</v>
      </c>
      <c r="AF2" s="134" cm="1">
        <f t="array" ref="AF2:AJ3">_xlfn.LET(_xlpm.Original_Table,ProzessF[],_xlpm.Filtered_Table,_xlfn._xlws.FILTER(_xlpm.Original_Table, _xlfn.BYROW(_xlpm.Original_Table, _xlfn.LAMBDA(_xlpm.row, SUM(_xlpm.row)&gt;0))),IFERROR(_xlpm.Filtered_Table,_xlfn.SEQUENCE(2,COLUMNS(_xlpm.Original_Table))*0))</f>
        <v>0</v>
      </c>
      <c r="AG2" s="134">
        <v>0</v>
      </c>
      <c r="AH2" s="134">
        <v>0</v>
      </c>
      <c r="AI2" s="134">
        <v>0</v>
      </c>
      <c r="AJ2" s="134">
        <v>0</v>
      </c>
      <c r="AL2" s="134" cm="1">
        <f t="array" ref="AL2:AP3">_xlfn.LET(_xlpm.Original_Table,ProzessG[],_xlpm.Filtered_Table,_xlfn._xlws.FILTER(_xlpm.Original_Table, _xlfn.BYROW(_xlpm.Original_Table, _xlfn.LAMBDA(_xlpm.row, SUM(_xlpm.row)&gt;0))),IFERROR(_xlpm.Filtered_Table,_xlfn.SEQUENCE(2,COLUMNS(_xlpm.Original_Table))*0))</f>
        <v>0</v>
      </c>
      <c r="AM2" s="134">
        <v>0</v>
      </c>
      <c r="AN2" s="134">
        <v>0</v>
      </c>
      <c r="AO2" s="134">
        <v>0</v>
      </c>
      <c r="AP2" s="134">
        <v>0</v>
      </c>
    </row>
    <row r="3" spans="1:42" x14ac:dyDescent="0.25">
      <c r="B3" s="134">
        <v>0</v>
      </c>
      <c r="C3" s="134">
        <v>0</v>
      </c>
      <c r="D3" s="134">
        <v>0</v>
      </c>
      <c r="E3" s="134">
        <v>0</v>
      </c>
      <c r="F3" s="134">
        <v>0</v>
      </c>
      <c r="H3" s="134">
        <v>0</v>
      </c>
      <c r="I3" s="134">
        <v>0</v>
      </c>
      <c r="J3" s="134">
        <v>0</v>
      </c>
      <c r="K3" s="134">
        <v>0</v>
      </c>
      <c r="L3" s="134">
        <v>0</v>
      </c>
      <c r="N3" s="134">
        <v>0</v>
      </c>
      <c r="O3" s="134">
        <v>0</v>
      </c>
      <c r="P3" s="134">
        <v>0</v>
      </c>
      <c r="Q3" s="134">
        <v>0</v>
      </c>
      <c r="R3" s="134">
        <v>0</v>
      </c>
      <c r="T3" s="134">
        <v>0</v>
      </c>
      <c r="U3" s="134">
        <v>0</v>
      </c>
      <c r="V3" s="134">
        <v>0</v>
      </c>
      <c r="W3" s="134">
        <v>0</v>
      </c>
      <c r="X3" s="134">
        <v>0</v>
      </c>
      <c r="Z3" s="134">
        <v>0</v>
      </c>
      <c r="AA3" s="134">
        <v>0</v>
      </c>
      <c r="AB3" s="134">
        <v>0</v>
      </c>
      <c r="AC3" s="134">
        <v>0</v>
      </c>
      <c r="AD3" s="134">
        <v>0</v>
      </c>
      <c r="AF3" s="134">
        <v>0</v>
      </c>
      <c r="AG3" s="134">
        <v>0</v>
      </c>
      <c r="AH3" s="134">
        <v>0</v>
      </c>
      <c r="AI3" s="134">
        <v>0</v>
      </c>
      <c r="AJ3" s="134">
        <v>0</v>
      </c>
      <c r="AL3" s="134">
        <v>0</v>
      </c>
      <c r="AM3" s="134">
        <v>0</v>
      </c>
      <c r="AN3" s="134">
        <v>0</v>
      </c>
      <c r="AO3" s="134">
        <v>0</v>
      </c>
      <c r="AP3" s="134">
        <v>0</v>
      </c>
    </row>
  </sheetData>
  <sheetProtection algorithmName="SHA-512" hashValue="iyhScLlY+9yIemSxo92nnFvkTZZcHloZjM2gjs7p3hNiYuQkbY/DyDxTMSzWjKwfTKTyzTk4VbbJTEc4vDy3Eg==" saltValue="z2d4H3drzNED/iJ8T7u8wg==" spinCount="100000" sheet="1" selectLockedCells="1" selectUnlockedCells="1"/>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08CF8-B4B4-4B12-A6E2-E0D3942E81E6}">
  <sheetPr codeName="TAB10">
    <tabColor rgb="FFD3F3CE"/>
    <pageSetUpPr fitToPage="1"/>
  </sheetPr>
  <dimension ref="A1:AC72"/>
  <sheetViews>
    <sheetView showGridLines="0" showRowColHeaders="0" topLeftCell="A42" zoomScaleNormal="100" workbookViewId="0">
      <selection activeCell="H66" sqref="H66:I66"/>
      <extLst>
        <ext xmlns:xlsdti="http://schemas.microsoft.com/office/spreadsheetml/2023/showDataTypeIcons" uri="{77bfe23e-c014-4d31-8a63-9c772dbf06b6}">
          <xlsdti:showDataTypeIcons visible="0"/>
        </ext>
      </extLst>
    </sheetView>
  </sheetViews>
  <sheetFormatPr defaultColWidth="11.42578125" defaultRowHeight="15" outlineLevelRow="1" x14ac:dyDescent="0.25"/>
  <cols>
    <col min="1" max="1" width="5.140625" customWidth="1"/>
    <col min="2" max="3" width="2.85546875" customWidth="1"/>
    <col min="4" max="4" width="9.42578125" bestFit="1" customWidth="1"/>
    <col min="6" max="6" width="11.42578125" customWidth="1"/>
    <col min="7" max="7" width="3.42578125" customWidth="1"/>
    <col min="8" max="8" width="1.7109375" customWidth="1"/>
    <col min="9" max="9" width="5.140625" customWidth="1"/>
    <col min="10" max="11" width="2.85546875" customWidth="1"/>
    <col min="12" max="18" width="5.7109375" customWidth="1"/>
    <col min="19" max="19" width="6.42578125" customWidth="1"/>
    <col min="20" max="20" width="2.85546875" customWidth="1"/>
  </cols>
  <sheetData>
    <row r="1" spans="1:22" x14ac:dyDescent="0.25">
      <c r="A1" s="301" t="s">
        <v>29</v>
      </c>
      <c r="B1" s="301"/>
      <c r="C1" s="301"/>
      <c r="D1" s="301"/>
      <c r="E1" s="301"/>
      <c r="F1" s="301"/>
      <c r="G1" s="301"/>
      <c r="H1" s="301"/>
      <c r="I1" s="301"/>
      <c r="J1" s="301"/>
      <c r="K1" s="301"/>
      <c r="L1" s="301"/>
      <c r="M1" s="301"/>
      <c r="N1" s="301"/>
      <c r="O1" s="301"/>
      <c r="P1" s="301"/>
      <c r="Q1" s="301"/>
      <c r="R1" s="301"/>
      <c r="S1" s="301"/>
      <c r="T1" s="301"/>
    </row>
    <row r="2" spans="1:22" ht="11.25" customHeight="1" x14ac:dyDescent="0.25">
      <c r="A2" s="310"/>
      <c r="B2" s="310"/>
      <c r="C2" s="310"/>
      <c r="D2" s="310"/>
      <c r="E2" s="310"/>
      <c r="F2" s="310"/>
      <c r="G2" s="310"/>
      <c r="H2" s="310"/>
      <c r="I2" s="310"/>
      <c r="J2" s="310"/>
      <c r="K2" s="310"/>
      <c r="L2" s="310"/>
      <c r="M2" s="310"/>
      <c r="N2" s="310"/>
      <c r="O2" s="310"/>
      <c r="P2" s="310"/>
      <c r="Q2" s="310"/>
      <c r="R2" s="310"/>
      <c r="S2" s="310"/>
      <c r="T2" s="6"/>
    </row>
    <row r="3" spans="1:22" x14ac:dyDescent="0.25">
      <c r="A3" s="272" t="s">
        <v>0</v>
      </c>
      <c r="B3" s="8"/>
      <c r="C3" s="292"/>
      <c r="D3" s="292"/>
      <c r="E3" s="292"/>
      <c r="F3" s="292"/>
      <c r="G3" s="292"/>
      <c r="H3" s="276"/>
      <c r="I3" s="232" t="s">
        <v>2</v>
      </c>
      <c r="J3" s="1"/>
      <c r="K3" s="293"/>
      <c r="L3" s="294"/>
      <c r="M3" s="294"/>
      <c r="N3" s="294"/>
      <c r="O3" s="294"/>
      <c r="P3" s="294"/>
      <c r="Q3" s="294"/>
      <c r="R3" s="294"/>
      <c r="S3" s="295"/>
      <c r="T3" s="21">
        <f>helper_UNTERNEHMUNG!$B$29</f>
        <v>0</v>
      </c>
    </row>
    <row r="4" spans="1:22" ht="9" customHeight="1" x14ac:dyDescent="0.25">
      <c r="A4" s="273"/>
      <c r="B4" s="9"/>
      <c r="C4" s="291" t="s">
        <v>3</v>
      </c>
      <c r="D4" s="291"/>
      <c r="E4" s="291"/>
      <c r="F4" s="291"/>
      <c r="G4" s="291"/>
      <c r="H4" s="277"/>
      <c r="I4" s="233"/>
      <c r="J4" s="2"/>
      <c r="K4" s="297" t="s">
        <v>6</v>
      </c>
      <c r="L4" s="297"/>
      <c r="M4" s="297"/>
      <c r="N4" s="297"/>
      <c r="O4" s="297"/>
      <c r="P4" s="297"/>
      <c r="Q4" s="297"/>
      <c r="R4" s="297"/>
      <c r="S4" s="298"/>
      <c r="T4" s="6"/>
    </row>
    <row r="5" spans="1:22" x14ac:dyDescent="0.25">
      <c r="A5" s="273"/>
      <c r="B5" s="10"/>
      <c r="C5" s="292"/>
      <c r="D5" s="292"/>
      <c r="E5" s="292"/>
      <c r="F5" s="292"/>
      <c r="G5" s="292"/>
      <c r="H5" s="277"/>
      <c r="I5" s="233"/>
      <c r="J5" s="2"/>
      <c r="K5" s="293"/>
      <c r="L5" s="294"/>
      <c r="M5" s="294"/>
      <c r="N5" s="294"/>
      <c r="O5" s="294"/>
      <c r="P5" s="294"/>
      <c r="Q5" s="294"/>
      <c r="R5" s="294"/>
      <c r="S5" s="295"/>
      <c r="T5" s="6"/>
    </row>
    <row r="6" spans="1:22" ht="9" customHeight="1" x14ac:dyDescent="0.25">
      <c r="A6" s="273"/>
      <c r="B6" s="9"/>
      <c r="C6" s="291" t="s">
        <v>4</v>
      </c>
      <c r="D6" s="291"/>
      <c r="E6" s="291"/>
      <c r="F6" s="291"/>
      <c r="G6" s="291"/>
      <c r="H6" s="277"/>
      <c r="I6" s="233"/>
      <c r="J6" s="2"/>
      <c r="K6" s="297" t="s">
        <v>7</v>
      </c>
      <c r="L6" s="297" t="s">
        <v>7</v>
      </c>
      <c r="M6" s="297"/>
      <c r="N6" s="297"/>
      <c r="O6" s="297"/>
      <c r="P6" s="297"/>
      <c r="Q6" s="297"/>
      <c r="R6" s="297"/>
      <c r="S6" s="298"/>
      <c r="T6" s="6"/>
    </row>
    <row r="7" spans="1:22" x14ac:dyDescent="0.25">
      <c r="A7" s="273"/>
      <c r="B7" s="11"/>
      <c r="C7" s="292"/>
      <c r="D7" s="292"/>
      <c r="E7" s="292"/>
      <c r="F7" s="292"/>
      <c r="G7" s="292"/>
      <c r="H7" s="277"/>
      <c r="I7" s="233"/>
      <c r="J7" s="2"/>
      <c r="K7" s="293"/>
      <c r="L7" s="294"/>
      <c r="M7" s="294"/>
      <c r="N7" s="294"/>
      <c r="O7" s="294"/>
      <c r="P7" s="294"/>
      <c r="Q7" s="294"/>
      <c r="R7" s="294"/>
      <c r="S7" s="295"/>
      <c r="T7" s="6"/>
    </row>
    <row r="8" spans="1:22" ht="9" customHeight="1" x14ac:dyDescent="0.25">
      <c r="A8" s="273"/>
      <c r="B8" s="9"/>
      <c r="C8" s="291" t="s">
        <v>5</v>
      </c>
      <c r="D8" s="291"/>
      <c r="E8" s="291"/>
      <c r="F8" s="291"/>
      <c r="G8" s="291"/>
      <c r="H8" s="277"/>
      <c r="I8" s="233"/>
      <c r="J8" s="2"/>
      <c r="K8" s="297" t="s">
        <v>8</v>
      </c>
      <c r="L8" s="297" t="s">
        <v>8</v>
      </c>
      <c r="M8" s="297"/>
      <c r="N8" s="297"/>
      <c r="O8" s="297"/>
      <c r="P8" s="297"/>
      <c r="Q8" s="297"/>
      <c r="R8" s="297"/>
      <c r="S8" s="298"/>
      <c r="T8" s="6"/>
    </row>
    <row r="9" spans="1:22" x14ac:dyDescent="0.25">
      <c r="A9" s="273"/>
      <c r="B9" s="11"/>
      <c r="C9" s="292"/>
      <c r="D9" s="292"/>
      <c r="E9" s="292"/>
      <c r="F9" s="292"/>
      <c r="G9" s="292"/>
      <c r="H9" s="277"/>
      <c r="I9" s="233"/>
      <c r="J9" s="2"/>
      <c r="K9" s="293"/>
      <c r="L9" s="294"/>
      <c r="M9" s="294"/>
      <c r="N9" s="294"/>
      <c r="O9" s="294"/>
      <c r="P9" s="294"/>
      <c r="Q9" s="294"/>
      <c r="R9" s="294"/>
      <c r="S9" s="295"/>
      <c r="T9" s="6"/>
    </row>
    <row r="10" spans="1:22" ht="9" customHeight="1" x14ac:dyDescent="0.25">
      <c r="A10" s="274"/>
      <c r="B10" s="12"/>
      <c r="C10" s="296" t="s">
        <v>64</v>
      </c>
      <c r="D10" s="296"/>
      <c r="E10" s="296"/>
      <c r="F10" s="296"/>
      <c r="G10" s="296"/>
      <c r="H10" s="278"/>
      <c r="I10" s="275"/>
      <c r="J10" s="3"/>
      <c r="K10" s="299" t="s">
        <v>9</v>
      </c>
      <c r="L10" s="299" t="s">
        <v>9</v>
      </c>
      <c r="M10" s="299"/>
      <c r="N10" s="299"/>
      <c r="O10" s="299"/>
      <c r="P10" s="299"/>
      <c r="Q10" s="299"/>
      <c r="R10" s="299"/>
      <c r="S10" s="300"/>
      <c r="T10" s="6"/>
    </row>
    <row r="11" spans="1:22" ht="11.25" customHeight="1" x14ac:dyDescent="0.25">
      <c r="A11" s="311"/>
      <c r="B11" s="311"/>
      <c r="C11" s="311"/>
      <c r="D11" s="311"/>
      <c r="E11" s="311"/>
      <c r="F11" s="311"/>
      <c r="G11" s="311"/>
      <c r="H11" s="311"/>
      <c r="I11" s="311"/>
      <c r="J11" s="311"/>
      <c r="K11" s="311"/>
      <c r="L11" s="311"/>
      <c r="M11" s="311"/>
      <c r="N11" s="311"/>
      <c r="O11" s="311"/>
      <c r="P11" s="311"/>
      <c r="Q11" s="311"/>
      <c r="R11" s="311"/>
      <c r="S11" s="311"/>
      <c r="T11" s="6"/>
    </row>
    <row r="12" spans="1:22" ht="78" customHeight="1" x14ac:dyDescent="0.25">
      <c r="A12" s="283" t="s">
        <v>21</v>
      </c>
      <c r="B12" s="283"/>
      <c r="C12" s="283"/>
      <c r="D12" s="283"/>
      <c r="E12" s="283"/>
      <c r="F12" s="283"/>
      <c r="G12" s="283"/>
      <c r="H12" s="283"/>
      <c r="I12" s="283"/>
      <c r="J12" s="283"/>
      <c r="K12" s="283"/>
      <c r="L12" s="283"/>
      <c r="M12" s="283"/>
      <c r="N12" s="283"/>
      <c r="O12" s="283"/>
      <c r="P12" s="283"/>
      <c r="Q12" s="283"/>
      <c r="R12" s="283"/>
      <c r="S12" s="283"/>
      <c r="T12" s="6"/>
    </row>
    <row r="13" spans="1:22" ht="11.25" customHeight="1" x14ac:dyDescent="0.25">
      <c r="A13" s="279"/>
      <c r="B13" s="279"/>
      <c r="C13" s="279"/>
      <c r="D13" s="279"/>
      <c r="E13" s="279"/>
      <c r="F13" s="279"/>
      <c r="G13" s="279"/>
      <c r="H13" s="279"/>
      <c r="I13" s="279"/>
      <c r="J13" s="279"/>
      <c r="K13" s="279"/>
      <c r="L13" s="279"/>
      <c r="M13" s="279"/>
      <c r="N13" s="279"/>
      <c r="O13" s="279"/>
      <c r="P13" s="279"/>
      <c r="Q13" s="279"/>
      <c r="R13" s="279"/>
      <c r="S13" s="279"/>
      <c r="T13" s="6"/>
    </row>
    <row r="14" spans="1:22" ht="15" customHeight="1" x14ac:dyDescent="0.25">
      <c r="A14" s="272" t="s">
        <v>1</v>
      </c>
      <c r="B14" s="234"/>
      <c r="C14" s="234"/>
      <c r="D14" s="234"/>
      <c r="E14" s="234"/>
      <c r="F14" s="234"/>
      <c r="G14" s="234"/>
      <c r="H14" s="235"/>
      <c r="I14" s="324" t="s">
        <v>18</v>
      </c>
      <c r="J14" s="324"/>
      <c r="K14" s="324"/>
      <c r="L14" s="284" t="s">
        <v>19</v>
      </c>
      <c r="M14" s="285"/>
      <c r="N14" s="280" t="s">
        <v>20</v>
      </c>
      <c r="O14" s="280"/>
      <c r="P14" s="280"/>
      <c r="Q14" s="280"/>
      <c r="R14" s="280"/>
      <c r="S14" s="280"/>
      <c r="T14" s="6"/>
    </row>
    <row r="15" spans="1:22" ht="15" customHeight="1" x14ac:dyDescent="0.25">
      <c r="A15" s="273"/>
      <c r="B15" s="219" t="s">
        <v>10</v>
      </c>
      <c r="C15" s="219"/>
      <c r="D15" s="219"/>
      <c r="E15" s="219"/>
      <c r="F15" s="219"/>
      <c r="G15" s="219"/>
      <c r="H15" s="219"/>
      <c r="I15" s="17"/>
      <c r="J15" s="17"/>
      <c r="K15" s="17"/>
      <c r="L15" s="17"/>
      <c r="M15" s="17"/>
      <c r="N15" s="288" t="s">
        <v>131</v>
      </c>
      <c r="O15" s="289"/>
      <c r="P15" s="289"/>
      <c r="Q15" s="289"/>
      <c r="R15" s="289"/>
      <c r="S15" s="290"/>
      <c r="T15" s="242">
        <f>helper_UNTERNEHMUNG!$B$32</f>
        <v>0</v>
      </c>
    </row>
    <row r="16" spans="1:22" ht="30" customHeight="1" x14ac:dyDescent="0.25">
      <c r="A16" s="273"/>
      <c r="B16" s="220"/>
      <c r="C16" s="220"/>
      <c r="D16" s="220"/>
      <c r="E16" s="220"/>
      <c r="F16" s="220"/>
      <c r="G16" s="220"/>
      <c r="H16" s="220"/>
      <c r="I16" s="282"/>
      <c r="J16" s="282" t="b">
        <v>0</v>
      </c>
      <c r="K16" s="282"/>
      <c r="L16" s="20"/>
      <c r="M16" s="20"/>
      <c r="N16" s="316"/>
      <c r="O16" s="316"/>
      <c r="P16" s="316"/>
      <c r="Q16" s="316"/>
      <c r="R16" s="316"/>
      <c r="S16" s="316"/>
      <c r="T16" s="242"/>
      <c r="U16" s="19"/>
      <c r="V16" s="19"/>
    </row>
    <row r="17" spans="1:22" ht="15" customHeight="1" x14ac:dyDescent="0.25">
      <c r="A17" s="273"/>
      <c r="B17" s="271" t="s">
        <v>290</v>
      </c>
      <c r="C17" s="271"/>
      <c r="D17" s="271"/>
      <c r="E17" s="271"/>
      <c r="F17" s="271"/>
      <c r="G17" s="271"/>
      <c r="H17" s="271"/>
      <c r="I17" s="282"/>
      <c r="J17" s="282"/>
      <c r="K17" s="282"/>
      <c r="L17" s="282"/>
      <c r="M17" s="282"/>
      <c r="N17" s="286" t="s">
        <v>131</v>
      </c>
      <c r="O17" s="286"/>
      <c r="P17" s="286"/>
      <c r="Q17" s="286"/>
      <c r="R17" s="286"/>
      <c r="S17" s="287"/>
      <c r="T17" s="243">
        <f>helper_UNTERNEHMUNG!$B$33</f>
        <v>0</v>
      </c>
      <c r="U17" s="19"/>
      <c r="V17" s="19"/>
    </row>
    <row r="18" spans="1:22" ht="30" customHeight="1" x14ac:dyDescent="0.25">
      <c r="A18" s="273"/>
      <c r="B18" s="220"/>
      <c r="C18" s="220"/>
      <c r="D18" s="220"/>
      <c r="E18" s="220"/>
      <c r="F18" s="220"/>
      <c r="G18" s="220"/>
      <c r="H18" s="220"/>
      <c r="I18" s="282"/>
      <c r="J18" s="282"/>
      <c r="K18" s="282"/>
      <c r="L18" s="282"/>
      <c r="M18" s="282"/>
      <c r="N18" s="316"/>
      <c r="O18" s="316"/>
      <c r="P18" s="316"/>
      <c r="Q18" s="316"/>
      <c r="R18" s="316"/>
      <c r="S18" s="316"/>
      <c r="T18" s="243"/>
      <c r="U18" s="19"/>
      <c r="V18" s="19"/>
    </row>
    <row r="19" spans="1:22" ht="33" customHeight="1" x14ac:dyDescent="0.25">
      <c r="A19" s="273"/>
      <c r="B19" s="314" t="s">
        <v>11</v>
      </c>
      <c r="C19" s="281" t="s">
        <v>289</v>
      </c>
      <c r="D19" s="281"/>
      <c r="E19" s="281"/>
      <c r="F19" s="281"/>
      <c r="G19" s="281"/>
      <c r="H19" s="281"/>
      <c r="I19" s="282"/>
      <c r="J19" s="282"/>
      <c r="K19" s="282"/>
      <c r="L19" s="20"/>
      <c r="M19" s="20"/>
      <c r="N19" s="317"/>
      <c r="O19" s="317"/>
      <c r="P19" s="317"/>
      <c r="Q19" s="317"/>
      <c r="R19" s="317"/>
      <c r="S19" s="317"/>
      <c r="T19" s="21">
        <f>helper_UNTERNEHMUNG!$B$34</f>
        <v>2</v>
      </c>
      <c r="U19" s="19"/>
      <c r="V19" s="19"/>
    </row>
    <row r="20" spans="1:22" ht="33" customHeight="1" x14ac:dyDescent="0.25">
      <c r="A20" s="273"/>
      <c r="B20" s="314"/>
      <c r="C20" s="283" t="s">
        <v>22</v>
      </c>
      <c r="D20" s="283"/>
      <c r="E20" s="283"/>
      <c r="F20" s="283"/>
      <c r="G20" s="283"/>
      <c r="H20" s="283"/>
      <c r="I20" s="282"/>
      <c r="J20" s="282"/>
      <c r="K20" s="282"/>
      <c r="L20" s="20"/>
      <c r="M20" s="20"/>
      <c r="N20" s="318" t="s">
        <v>51</v>
      </c>
      <c r="O20" s="319"/>
      <c r="P20" s="319"/>
      <c r="Q20" s="319"/>
      <c r="R20" s="319"/>
      <c r="S20" s="320"/>
      <c r="T20" s="21">
        <f>helper_UNTERNEHMUNG!$B$35</f>
        <v>2</v>
      </c>
      <c r="U20" s="19"/>
      <c r="V20" s="19"/>
    </row>
    <row r="21" spans="1:22" ht="26.25" customHeight="1" x14ac:dyDescent="0.25">
      <c r="A21" s="273"/>
      <c r="B21" s="314"/>
      <c r="C21" s="244" t="s">
        <v>328</v>
      </c>
      <c r="D21" s="245"/>
      <c r="E21" s="245"/>
      <c r="F21" s="245"/>
      <c r="G21" s="245"/>
      <c r="H21" s="245"/>
      <c r="I21" s="245"/>
      <c r="J21" s="245"/>
      <c r="K21" s="245"/>
      <c r="L21" s="245"/>
      <c r="M21" s="245"/>
      <c r="N21" s="245"/>
      <c r="O21" s="245"/>
      <c r="P21" s="245"/>
      <c r="Q21" s="245"/>
      <c r="R21" s="245"/>
      <c r="S21" s="246"/>
      <c r="T21" s="21">
        <f>helper_UNTERNEHMUNG!$B$36</f>
        <v>2</v>
      </c>
      <c r="U21" s="19"/>
      <c r="V21" s="19"/>
    </row>
    <row r="22" spans="1:22" ht="120" customHeight="1" x14ac:dyDescent="0.25">
      <c r="A22" s="274"/>
      <c r="B22" s="315"/>
      <c r="C22" s="321"/>
      <c r="D22" s="322"/>
      <c r="E22" s="322"/>
      <c r="F22" s="322"/>
      <c r="G22" s="322"/>
      <c r="H22" s="322"/>
      <c r="I22" s="322"/>
      <c r="J22" s="322"/>
      <c r="K22" s="322"/>
      <c r="L22" s="322"/>
      <c r="M22" s="322"/>
      <c r="N22" s="322"/>
      <c r="O22" s="322"/>
      <c r="P22" s="322"/>
      <c r="Q22" s="322"/>
      <c r="R22" s="322"/>
      <c r="S22" s="323"/>
      <c r="T22" s="6"/>
    </row>
    <row r="23" spans="1:22" ht="11.25" customHeight="1" x14ac:dyDescent="0.25">
      <c r="A23" s="311"/>
      <c r="B23" s="311"/>
      <c r="C23" s="311"/>
      <c r="D23" s="311"/>
      <c r="E23" s="311"/>
      <c r="F23" s="311"/>
      <c r="G23" s="311"/>
      <c r="H23" s="311"/>
      <c r="I23" s="311"/>
      <c r="J23" s="311"/>
      <c r="K23" s="311"/>
      <c r="L23" s="311"/>
      <c r="M23" s="311"/>
      <c r="N23" s="311"/>
      <c r="O23" s="311"/>
      <c r="P23" s="311"/>
      <c r="Q23" s="311"/>
      <c r="R23" s="311"/>
      <c r="S23" s="311"/>
      <c r="T23" s="6"/>
    </row>
    <row r="24" spans="1:22" ht="15" customHeight="1" x14ac:dyDescent="0.25">
      <c r="A24" s="232" t="s">
        <v>115</v>
      </c>
      <c r="B24" s="259" t="s">
        <v>12</v>
      </c>
      <c r="C24" s="260"/>
      <c r="D24" s="258" t="s">
        <v>400</v>
      </c>
      <c r="E24" s="260"/>
      <c r="F24" s="258" t="s">
        <v>248</v>
      </c>
      <c r="G24" s="259"/>
      <c r="H24" s="259"/>
      <c r="I24" s="259"/>
      <c r="J24" s="259"/>
      <c r="K24" s="260"/>
      <c r="L24" s="258" t="s">
        <v>305</v>
      </c>
      <c r="M24" s="259"/>
      <c r="N24" s="259"/>
      <c r="O24" s="260"/>
      <c r="P24" s="258" t="s">
        <v>293</v>
      </c>
      <c r="Q24" s="259"/>
      <c r="R24" s="259"/>
      <c r="S24" s="260"/>
      <c r="T24" s="6"/>
    </row>
    <row r="25" spans="1:22" ht="15.75" customHeight="1" x14ac:dyDescent="0.25">
      <c r="A25" s="233"/>
      <c r="B25" s="262"/>
      <c r="C25" s="263"/>
      <c r="D25" s="264"/>
      <c r="E25" s="266"/>
      <c r="F25" s="264"/>
      <c r="G25" s="265"/>
      <c r="H25" s="265"/>
      <c r="I25" s="265"/>
      <c r="J25" s="265"/>
      <c r="K25" s="266"/>
      <c r="L25" s="264"/>
      <c r="M25" s="265"/>
      <c r="N25" s="265"/>
      <c r="O25" s="266"/>
      <c r="P25" s="261"/>
      <c r="Q25" s="262"/>
      <c r="R25" s="262"/>
      <c r="S25" s="263"/>
      <c r="T25" s="6"/>
    </row>
    <row r="26" spans="1:22" ht="27" customHeight="1" x14ac:dyDescent="0.25">
      <c r="A26" s="233"/>
      <c r="B26" s="224" t="s">
        <v>14</v>
      </c>
      <c r="C26" s="225"/>
      <c r="D26" s="221"/>
      <c r="E26" s="223"/>
      <c r="F26" s="221"/>
      <c r="G26" s="222"/>
      <c r="H26" s="222"/>
      <c r="I26" s="222"/>
      <c r="J26" s="222"/>
      <c r="K26" s="223"/>
      <c r="L26" s="221"/>
      <c r="M26" s="222"/>
      <c r="N26" s="222"/>
      <c r="O26" s="223"/>
      <c r="P26" s="248"/>
      <c r="Q26" s="249"/>
      <c r="R26" s="250"/>
      <c r="S26" s="116" t="s">
        <v>23</v>
      </c>
      <c r="T26" s="21">
        <f>helper_UNTERNEHMUNG!$B39</f>
        <v>0</v>
      </c>
    </row>
    <row r="27" spans="1:22" ht="26.25" customHeight="1" x14ac:dyDescent="0.25">
      <c r="A27" s="233"/>
      <c r="B27" s="224" t="s">
        <v>15</v>
      </c>
      <c r="C27" s="225"/>
      <c r="D27" s="221"/>
      <c r="E27" s="223"/>
      <c r="F27" s="221"/>
      <c r="G27" s="222"/>
      <c r="H27" s="222"/>
      <c r="I27" s="222"/>
      <c r="J27" s="222"/>
      <c r="K27" s="223"/>
      <c r="L27" s="221"/>
      <c r="M27" s="222"/>
      <c r="N27" s="222"/>
      <c r="O27" s="223"/>
      <c r="P27" s="248"/>
      <c r="Q27" s="249"/>
      <c r="R27" s="250"/>
      <c r="S27" s="92" t="s">
        <v>23</v>
      </c>
      <c r="T27" s="21">
        <f>helper_UNTERNEHMUNG!$B40</f>
        <v>2</v>
      </c>
    </row>
    <row r="28" spans="1:22" ht="26.25" customHeight="1" x14ac:dyDescent="0.25">
      <c r="A28" s="233"/>
      <c r="B28" s="224" t="s">
        <v>16</v>
      </c>
      <c r="C28" s="225"/>
      <c r="D28" s="221"/>
      <c r="E28" s="223"/>
      <c r="F28" s="221"/>
      <c r="G28" s="222"/>
      <c r="H28" s="222"/>
      <c r="I28" s="222"/>
      <c r="J28" s="222"/>
      <c r="K28" s="223"/>
      <c r="L28" s="221"/>
      <c r="M28" s="222"/>
      <c r="N28" s="222"/>
      <c r="O28" s="223"/>
      <c r="P28" s="248"/>
      <c r="Q28" s="249"/>
      <c r="R28" s="250"/>
      <c r="S28" s="92" t="s">
        <v>23</v>
      </c>
      <c r="T28" s="21">
        <f>helper_UNTERNEHMUNG!$B41</f>
        <v>2</v>
      </c>
    </row>
    <row r="29" spans="1:22" ht="25.5" customHeight="1" x14ac:dyDescent="0.25">
      <c r="A29" s="233"/>
      <c r="B29" s="303" t="s">
        <v>17</v>
      </c>
      <c r="C29" s="304"/>
      <c r="D29" s="221"/>
      <c r="E29" s="223"/>
      <c r="F29" s="221"/>
      <c r="G29" s="222"/>
      <c r="H29" s="222"/>
      <c r="I29" s="222"/>
      <c r="J29" s="222"/>
      <c r="K29" s="223"/>
      <c r="L29" s="221"/>
      <c r="M29" s="222"/>
      <c r="N29" s="222"/>
      <c r="O29" s="223"/>
      <c r="P29" s="248"/>
      <c r="Q29" s="249"/>
      <c r="R29" s="250"/>
      <c r="S29" s="92" t="s">
        <v>23</v>
      </c>
      <c r="T29" s="21">
        <f>helper_UNTERNEHMUNG!$B42</f>
        <v>2</v>
      </c>
    </row>
    <row r="30" spans="1:22" ht="25.5" customHeight="1" x14ac:dyDescent="0.25">
      <c r="A30" s="233"/>
      <c r="B30" s="224" t="s">
        <v>63</v>
      </c>
      <c r="C30" s="225"/>
      <c r="D30" s="221"/>
      <c r="E30" s="223"/>
      <c r="F30" s="221"/>
      <c r="G30" s="222"/>
      <c r="H30" s="222"/>
      <c r="I30" s="222"/>
      <c r="J30" s="222"/>
      <c r="K30" s="223"/>
      <c r="L30" s="221"/>
      <c r="M30" s="222"/>
      <c r="N30" s="222"/>
      <c r="O30" s="223"/>
      <c r="P30" s="248"/>
      <c r="Q30" s="249"/>
      <c r="R30" s="250"/>
      <c r="S30" s="92" t="s">
        <v>23</v>
      </c>
      <c r="T30" s="21">
        <f>helper_UNTERNEHMUNG!$B43</f>
        <v>2</v>
      </c>
    </row>
    <row r="31" spans="1:22" ht="25.5" customHeight="1" x14ac:dyDescent="0.25">
      <c r="A31" s="233"/>
      <c r="B31" s="224" t="s">
        <v>65</v>
      </c>
      <c r="C31" s="225"/>
      <c r="D31" s="221"/>
      <c r="E31" s="223"/>
      <c r="F31" s="221"/>
      <c r="G31" s="222"/>
      <c r="H31" s="222"/>
      <c r="I31" s="222"/>
      <c r="J31" s="222"/>
      <c r="K31" s="223"/>
      <c r="L31" s="221"/>
      <c r="M31" s="222"/>
      <c r="N31" s="222"/>
      <c r="O31" s="223"/>
      <c r="P31" s="248"/>
      <c r="Q31" s="249"/>
      <c r="R31" s="250"/>
      <c r="S31" s="92" t="s">
        <v>23</v>
      </c>
      <c r="T31" s="21">
        <f>helper_UNTERNEHMUNG!$B44</f>
        <v>2</v>
      </c>
    </row>
    <row r="32" spans="1:22" ht="25.5" hidden="1" customHeight="1" outlineLevel="1" x14ac:dyDescent="0.25">
      <c r="A32" s="233"/>
      <c r="B32" s="224" t="s">
        <v>66</v>
      </c>
      <c r="C32" s="225"/>
      <c r="D32" s="221"/>
      <c r="E32" s="223"/>
      <c r="F32" s="221"/>
      <c r="G32" s="222"/>
      <c r="H32" s="222"/>
      <c r="I32" s="222"/>
      <c r="J32" s="222"/>
      <c r="K32" s="223"/>
      <c r="L32" s="221"/>
      <c r="M32" s="222"/>
      <c r="N32" s="222"/>
      <c r="O32" s="223"/>
      <c r="P32" s="248"/>
      <c r="Q32" s="249"/>
      <c r="R32" s="250"/>
      <c r="S32" s="92" t="s">
        <v>23</v>
      </c>
      <c r="T32" s="21">
        <f>helper_UNTERNEHMUNG!$B45</f>
        <v>2</v>
      </c>
    </row>
    <row r="33" spans="1:20" ht="25.5" hidden="1" customHeight="1" outlineLevel="1" x14ac:dyDescent="0.25">
      <c r="A33" s="233"/>
      <c r="B33" s="224" t="s">
        <v>67</v>
      </c>
      <c r="C33" s="225"/>
      <c r="D33" s="221"/>
      <c r="E33" s="223"/>
      <c r="F33" s="221"/>
      <c r="G33" s="222"/>
      <c r="H33" s="222"/>
      <c r="I33" s="222"/>
      <c r="J33" s="222"/>
      <c r="K33" s="223"/>
      <c r="L33" s="221"/>
      <c r="M33" s="222"/>
      <c r="N33" s="222"/>
      <c r="O33" s="223"/>
      <c r="P33" s="248"/>
      <c r="Q33" s="249"/>
      <c r="R33" s="250"/>
      <c r="S33" s="92" t="s">
        <v>23</v>
      </c>
      <c r="T33" s="21">
        <f>helper_UNTERNEHMUNG!$B46</f>
        <v>2</v>
      </c>
    </row>
    <row r="34" spans="1:20" ht="25.5" hidden="1" customHeight="1" outlineLevel="1" x14ac:dyDescent="0.25">
      <c r="A34" s="233"/>
      <c r="B34" s="224" t="s">
        <v>68</v>
      </c>
      <c r="C34" s="225"/>
      <c r="D34" s="221"/>
      <c r="E34" s="223"/>
      <c r="F34" s="221"/>
      <c r="G34" s="222"/>
      <c r="H34" s="222"/>
      <c r="I34" s="222"/>
      <c r="J34" s="222"/>
      <c r="K34" s="223"/>
      <c r="L34" s="221"/>
      <c r="M34" s="222"/>
      <c r="N34" s="222"/>
      <c r="O34" s="223"/>
      <c r="P34" s="248"/>
      <c r="Q34" s="249"/>
      <c r="R34" s="250"/>
      <c r="S34" s="92" t="s">
        <v>23</v>
      </c>
      <c r="T34" s="21">
        <f>helper_UNTERNEHMUNG!$B47</f>
        <v>2</v>
      </c>
    </row>
    <row r="35" spans="1:20" ht="25.5" hidden="1" customHeight="1" outlineLevel="1" x14ac:dyDescent="0.25">
      <c r="A35" s="233"/>
      <c r="B35" s="224" t="s">
        <v>69</v>
      </c>
      <c r="C35" s="225"/>
      <c r="D35" s="221"/>
      <c r="E35" s="223"/>
      <c r="F35" s="221"/>
      <c r="G35" s="222"/>
      <c r="H35" s="222"/>
      <c r="I35" s="222"/>
      <c r="J35" s="222"/>
      <c r="K35" s="223"/>
      <c r="L35" s="221"/>
      <c r="M35" s="222"/>
      <c r="N35" s="222"/>
      <c r="O35" s="223"/>
      <c r="P35" s="248"/>
      <c r="Q35" s="249"/>
      <c r="R35" s="250"/>
      <c r="S35" s="92" t="s">
        <v>23</v>
      </c>
      <c r="T35" s="21">
        <f>helper_UNTERNEHMUNG!$B48</f>
        <v>2</v>
      </c>
    </row>
    <row r="36" spans="1:20" ht="25.5" hidden="1" customHeight="1" outlineLevel="1" x14ac:dyDescent="0.25">
      <c r="A36" s="233"/>
      <c r="B36" s="224" t="s">
        <v>70</v>
      </c>
      <c r="C36" s="225"/>
      <c r="D36" s="221"/>
      <c r="E36" s="223"/>
      <c r="F36" s="221"/>
      <c r="G36" s="222"/>
      <c r="H36" s="222"/>
      <c r="I36" s="222"/>
      <c r="J36" s="222"/>
      <c r="K36" s="223"/>
      <c r="L36" s="221"/>
      <c r="M36" s="222"/>
      <c r="N36" s="222"/>
      <c r="O36" s="223"/>
      <c r="P36" s="248"/>
      <c r="Q36" s="249"/>
      <c r="R36" s="250"/>
      <c r="S36" s="92" t="s">
        <v>23</v>
      </c>
      <c r="T36" s="21">
        <f>helper_UNTERNEHMUNG!$B49</f>
        <v>2</v>
      </c>
    </row>
    <row r="37" spans="1:20" ht="25.5" hidden="1" customHeight="1" outlineLevel="1" x14ac:dyDescent="0.25">
      <c r="A37" s="233"/>
      <c r="B37" s="224" t="s">
        <v>71</v>
      </c>
      <c r="C37" s="225"/>
      <c r="D37" s="221"/>
      <c r="E37" s="223"/>
      <c r="F37" s="221"/>
      <c r="G37" s="222"/>
      <c r="H37" s="222"/>
      <c r="I37" s="222"/>
      <c r="J37" s="222"/>
      <c r="K37" s="223"/>
      <c r="L37" s="221"/>
      <c r="M37" s="222"/>
      <c r="N37" s="222"/>
      <c r="O37" s="223"/>
      <c r="P37" s="248"/>
      <c r="Q37" s="249"/>
      <c r="R37" s="250"/>
      <c r="S37" s="92" t="s">
        <v>23</v>
      </c>
      <c r="T37" s="21">
        <f>helper_UNTERNEHMUNG!$B50</f>
        <v>2</v>
      </c>
    </row>
    <row r="38" spans="1:20" ht="25.5" hidden="1" customHeight="1" outlineLevel="1" x14ac:dyDescent="0.25">
      <c r="A38" s="233"/>
      <c r="B38" s="224" t="s">
        <v>72</v>
      </c>
      <c r="C38" s="225"/>
      <c r="D38" s="221"/>
      <c r="E38" s="223"/>
      <c r="F38" s="221"/>
      <c r="G38" s="222"/>
      <c r="H38" s="222"/>
      <c r="I38" s="222"/>
      <c r="J38" s="222"/>
      <c r="K38" s="223"/>
      <c r="L38" s="221"/>
      <c r="M38" s="222"/>
      <c r="N38" s="222"/>
      <c r="O38" s="223"/>
      <c r="P38" s="248"/>
      <c r="Q38" s="249"/>
      <c r="R38" s="250"/>
      <c r="S38" s="92" t="s">
        <v>23</v>
      </c>
      <c r="T38" s="21">
        <f>helper_UNTERNEHMUNG!$B51</f>
        <v>2</v>
      </c>
    </row>
    <row r="39" spans="1:20" ht="25.5" hidden="1" customHeight="1" outlineLevel="1" x14ac:dyDescent="0.25">
      <c r="A39" s="233"/>
      <c r="B39" s="224" t="s">
        <v>171</v>
      </c>
      <c r="C39" s="225"/>
      <c r="D39" s="221"/>
      <c r="E39" s="223"/>
      <c r="F39" s="221"/>
      <c r="G39" s="222"/>
      <c r="H39" s="222"/>
      <c r="I39" s="222"/>
      <c r="J39" s="222"/>
      <c r="K39" s="223"/>
      <c r="L39" s="221"/>
      <c r="M39" s="222"/>
      <c r="N39" s="222"/>
      <c r="O39" s="223"/>
      <c r="P39" s="248"/>
      <c r="Q39" s="249"/>
      <c r="R39" s="250"/>
      <c r="S39" s="92" t="s">
        <v>23</v>
      </c>
      <c r="T39" s="21">
        <f>helper_UNTERNEHMUNG!$B52</f>
        <v>2</v>
      </c>
    </row>
    <row r="40" spans="1:20" ht="25.5" hidden="1" customHeight="1" outlineLevel="1" x14ac:dyDescent="0.25">
      <c r="A40" s="233"/>
      <c r="B40" s="305" t="s">
        <v>73</v>
      </c>
      <c r="C40" s="306"/>
      <c r="D40" s="307"/>
      <c r="E40" s="308"/>
      <c r="F40" s="307"/>
      <c r="G40" s="309"/>
      <c r="H40" s="309"/>
      <c r="I40" s="309"/>
      <c r="J40" s="309"/>
      <c r="K40" s="308"/>
      <c r="L40" s="307"/>
      <c r="M40" s="309"/>
      <c r="N40" s="309"/>
      <c r="O40" s="308"/>
      <c r="P40" s="251"/>
      <c r="Q40" s="252"/>
      <c r="R40" s="253"/>
      <c r="S40" s="115" t="s">
        <v>23</v>
      </c>
      <c r="T40" s="21">
        <f>helper_UNTERNEHMUNG!$B53</f>
        <v>2</v>
      </c>
    </row>
    <row r="41" spans="1:20" ht="14.25" customHeight="1" collapsed="1" x14ac:dyDescent="0.25">
      <c r="A41" s="325"/>
      <c r="B41" s="325"/>
      <c r="C41" s="325"/>
      <c r="D41" s="325"/>
      <c r="E41" s="325"/>
      <c r="F41" s="325"/>
      <c r="G41" s="325"/>
      <c r="H41" s="325"/>
      <c r="I41" s="325"/>
      <c r="J41" s="325"/>
      <c r="K41" s="325"/>
      <c r="L41" s="325"/>
      <c r="M41" s="325"/>
      <c r="N41" s="325"/>
      <c r="O41" s="325"/>
      <c r="P41" s="325"/>
      <c r="Q41" s="325"/>
      <c r="R41" s="325"/>
      <c r="S41" s="325"/>
      <c r="T41" s="6"/>
    </row>
    <row r="42" spans="1:20" ht="199.5" customHeight="1" x14ac:dyDescent="0.25">
      <c r="A42" s="233" t="s">
        <v>170</v>
      </c>
      <c r="B42" s="13"/>
      <c r="C42" s="13"/>
      <c r="D42" s="13"/>
      <c r="E42" s="13"/>
      <c r="F42" s="13"/>
      <c r="G42" s="13"/>
      <c r="H42" s="13"/>
      <c r="I42" s="13"/>
      <c r="J42" s="13"/>
      <c r="K42" s="13"/>
      <c r="L42" s="13"/>
      <c r="M42" s="13"/>
      <c r="N42" s="13"/>
      <c r="O42" s="13"/>
      <c r="P42" s="13"/>
      <c r="Q42" s="13"/>
      <c r="R42" s="13"/>
      <c r="S42" s="13"/>
      <c r="T42" s="6"/>
    </row>
    <row r="43" spans="1:20" ht="30" customHeight="1" x14ac:dyDescent="0.25">
      <c r="A43" s="233"/>
      <c r="B43" s="234" t="s">
        <v>12</v>
      </c>
      <c r="C43" s="235"/>
      <c r="D43" s="239">
        <f ca="1">P43-4</f>
        <v>2021</v>
      </c>
      <c r="E43" s="240"/>
      <c r="F43" s="239">
        <f ca="1">P43-3</f>
        <v>2022</v>
      </c>
      <c r="G43" s="241"/>
      <c r="H43" s="240"/>
      <c r="I43" s="239">
        <f ca="1">P43-2</f>
        <v>2023</v>
      </c>
      <c r="J43" s="241"/>
      <c r="K43" s="241"/>
      <c r="L43" s="240"/>
      <c r="M43" s="239">
        <f ca="1">P43-1</f>
        <v>2024</v>
      </c>
      <c r="N43" s="241"/>
      <c r="O43" s="240"/>
      <c r="P43" s="239">
        <f ca="1">YEAR(TODAY())</f>
        <v>2025</v>
      </c>
      <c r="Q43" s="241"/>
      <c r="R43" s="240"/>
      <c r="S43" s="13"/>
      <c r="T43" s="6"/>
    </row>
    <row r="44" spans="1:20" ht="25.5" customHeight="1" x14ac:dyDescent="0.25">
      <c r="A44" s="233"/>
      <c r="B44" s="234" t="s">
        <v>14</v>
      </c>
      <c r="C44" s="236"/>
      <c r="D44" s="226"/>
      <c r="E44" s="228"/>
      <c r="F44" s="226"/>
      <c r="G44" s="227"/>
      <c r="H44" s="228"/>
      <c r="I44" s="226"/>
      <c r="J44" s="227"/>
      <c r="K44" s="227"/>
      <c r="L44" s="228"/>
      <c r="M44" s="226"/>
      <c r="N44" s="227"/>
      <c r="O44" s="228"/>
      <c r="P44" s="254" t="str">
        <f>IF(ISBLANK($P26),"",$P26)</f>
        <v/>
      </c>
      <c r="Q44" s="255"/>
      <c r="R44" s="256"/>
      <c r="S44" s="36" t="str">
        <f>$S26</f>
        <v>t/a</v>
      </c>
      <c r="T44" s="6">
        <f>helper_UNTERNEHMUNG!$B56</f>
        <v>2</v>
      </c>
    </row>
    <row r="45" spans="1:20" ht="25.5" customHeight="1" x14ac:dyDescent="0.25">
      <c r="A45" s="233"/>
      <c r="B45" s="237" t="s">
        <v>15</v>
      </c>
      <c r="C45" s="238"/>
      <c r="D45" s="226"/>
      <c r="E45" s="228"/>
      <c r="F45" s="226"/>
      <c r="G45" s="227"/>
      <c r="H45" s="228"/>
      <c r="I45" s="226"/>
      <c r="J45" s="227"/>
      <c r="K45" s="227"/>
      <c r="L45" s="228"/>
      <c r="M45" s="226"/>
      <c r="N45" s="227"/>
      <c r="O45" s="228"/>
      <c r="P45" s="254" t="str">
        <f>IF(ISBLANK($P27),"",$P27)</f>
        <v/>
      </c>
      <c r="Q45" s="255"/>
      <c r="R45" s="256"/>
      <c r="S45" s="36" t="str">
        <f t="shared" ref="S45:S58" si="0">$S27</f>
        <v>t/a</v>
      </c>
      <c r="T45" s="6">
        <f>helper_UNTERNEHMUNG!$B57</f>
        <v>2</v>
      </c>
    </row>
    <row r="46" spans="1:20" ht="25.5" customHeight="1" x14ac:dyDescent="0.25">
      <c r="A46" s="233"/>
      <c r="B46" s="237" t="s">
        <v>16</v>
      </c>
      <c r="C46" s="238"/>
      <c r="D46" s="226"/>
      <c r="E46" s="228"/>
      <c r="F46" s="226"/>
      <c r="G46" s="227"/>
      <c r="H46" s="228"/>
      <c r="I46" s="226"/>
      <c r="J46" s="227"/>
      <c r="K46" s="227"/>
      <c r="L46" s="228"/>
      <c r="M46" s="226"/>
      <c r="N46" s="227"/>
      <c r="O46" s="228"/>
      <c r="P46" s="254" t="str">
        <f>IF(ISBLANK($P28),"",$P28)</f>
        <v/>
      </c>
      <c r="Q46" s="255"/>
      <c r="R46" s="256"/>
      <c r="S46" s="36" t="str">
        <f t="shared" si="0"/>
        <v>t/a</v>
      </c>
      <c r="T46" s="6">
        <f>helper_UNTERNEHMUNG!$B58</f>
        <v>2</v>
      </c>
    </row>
    <row r="47" spans="1:20" ht="25.5" customHeight="1" x14ac:dyDescent="0.25">
      <c r="A47" s="233"/>
      <c r="B47" s="237" t="s">
        <v>17</v>
      </c>
      <c r="C47" s="238"/>
      <c r="D47" s="226"/>
      <c r="E47" s="228"/>
      <c r="F47" s="226"/>
      <c r="G47" s="227"/>
      <c r="H47" s="228"/>
      <c r="I47" s="226"/>
      <c r="J47" s="227"/>
      <c r="K47" s="227"/>
      <c r="L47" s="228"/>
      <c r="M47" s="226"/>
      <c r="N47" s="227"/>
      <c r="O47" s="228"/>
      <c r="P47" s="254" t="str">
        <f t="shared" ref="P47:P58" si="1">IF(ISBLANK($P29),"",$P29)</f>
        <v/>
      </c>
      <c r="Q47" s="255"/>
      <c r="R47" s="256"/>
      <c r="S47" s="36" t="str">
        <f t="shared" si="0"/>
        <v>t/a</v>
      </c>
      <c r="T47" s="6">
        <f>helper_UNTERNEHMUNG!$B59</f>
        <v>2</v>
      </c>
    </row>
    <row r="48" spans="1:20" ht="25.5" customHeight="1" x14ac:dyDescent="0.25">
      <c r="A48" s="233"/>
      <c r="B48" s="237" t="s">
        <v>63</v>
      </c>
      <c r="C48" s="238"/>
      <c r="D48" s="226"/>
      <c r="E48" s="228"/>
      <c r="F48" s="226"/>
      <c r="G48" s="227"/>
      <c r="H48" s="228"/>
      <c r="I48" s="226"/>
      <c r="J48" s="227"/>
      <c r="K48" s="227"/>
      <c r="L48" s="228"/>
      <c r="M48" s="226"/>
      <c r="N48" s="227"/>
      <c r="O48" s="228"/>
      <c r="P48" s="254" t="str">
        <f t="shared" si="1"/>
        <v/>
      </c>
      <c r="Q48" s="255"/>
      <c r="R48" s="256"/>
      <c r="S48" s="36" t="str">
        <f t="shared" si="0"/>
        <v>t/a</v>
      </c>
      <c r="T48" s="6">
        <f>helper_UNTERNEHMUNG!$B60</f>
        <v>2</v>
      </c>
    </row>
    <row r="49" spans="1:29" ht="25.5" customHeight="1" x14ac:dyDescent="0.25">
      <c r="A49" s="233"/>
      <c r="B49" s="237" t="s">
        <v>65</v>
      </c>
      <c r="C49" s="238"/>
      <c r="D49" s="226"/>
      <c r="E49" s="228"/>
      <c r="F49" s="226"/>
      <c r="G49" s="227"/>
      <c r="H49" s="228"/>
      <c r="I49" s="226"/>
      <c r="J49" s="227"/>
      <c r="K49" s="227"/>
      <c r="L49" s="228"/>
      <c r="M49" s="226"/>
      <c r="N49" s="227"/>
      <c r="O49" s="228"/>
      <c r="P49" s="254" t="str">
        <f t="shared" si="1"/>
        <v/>
      </c>
      <c r="Q49" s="255"/>
      <c r="R49" s="256"/>
      <c r="S49" s="36" t="str">
        <f t="shared" si="0"/>
        <v>t/a</v>
      </c>
      <c r="T49" s="6">
        <f>helper_UNTERNEHMUNG!$B61</f>
        <v>2</v>
      </c>
      <c r="AC49" s="37"/>
    </row>
    <row r="50" spans="1:29" ht="25.5" hidden="1" customHeight="1" outlineLevel="1" x14ac:dyDescent="0.25">
      <c r="A50" s="233"/>
      <c r="B50" s="237" t="s">
        <v>66</v>
      </c>
      <c r="C50" s="238"/>
      <c r="D50" s="226"/>
      <c r="E50" s="228"/>
      <c r="F50" s="226"/>
      <c r="G50" s="227"/>
      <c r="H50" s="228"/>
      <c r="I50" s="226"/>
      <c r="J50" s="227"/>
      <c r="K50" s="227"/>
      <c r="L50" s="228"/>
      <c r="M50" s="226"/>
      <c r="N50" s="227"/>
      <c r="O50" s="228"/>
      <c r="P50" s="254" t="str">
        <f t="shared" si="1"/>
        <v/>
      </c>
      <c r="Q50" s="255"/>
      <c r="R50" s="256"/>
      <c r="S50" s="36" t="str">
        <f t="shared" si="0"/>
        <v>t/a</v>
      </c>
      <c r="T50" s="6">
        <f>helper_UNTERNEHMUNG!$B62</f>
        <v>2</v>
      </c>
    </row>
    <row r="51" spans="1:29" ht="25.5" hidden="1" customHeight="1" outlineLevel="1" x14ac:dyDescent="0.25">
      <c r="A51" s="233"/>
      <c r="B51" s="237" t="s">
        <v>67</v>
      </c>
      <c r="C51" s="238"/>
      <c r="D51" s="226"/>
      <c r="E51" s="228"/>
      <c r="F51" s="226"/>
      <c r="G51" s="227"/>
      <c r="H51" s="228"/>
      <c r="I51" s="226"/>
      <c r="J51" s="227"/>
      <c r="K51" s="227"/>
      <c r="L51" s="228"/>
      <c r="M51" s="226"/>
      <c r="N51" s="227"/>
      <c r="O51" s="228"/>
      <c r="P51" s="254" t="str">
        <f t="shared" si="1"/>
        <v/>
      </c>
      <c r="Q51" s="255"/>
      <c r="R51" s="256"/>
      <c r="S51" s="36" t="str">
        <f t="shared" si="0"/>
        <v>t/a</v>
      </c>
      <c r="T51" s="6">
        <f>helper_UNTERNEHMUNG!$B63</f>
        <v>2</v>
      </c>
    </row>
    <row r="52" spans="1:29" ht="25.5" hidden="1" customHeight="1" outlineLevel="1" x14ac:dyDescent="0.25">
      <c r="A52" s="233"/>
      <c r="B52" s="237" t="s">
        <v>68</v>
      </c>
      <c r="C52" s="238"/>
      <c r="D52" s="226"/>
      <c r="E52" s="228"/>
      <c r="F52" s="226"/>
      <c r="G52" s="227"/>
      <c r="H52" s="228"/>
      <c r="I52" s="226"/>
      <c r="J52" s="227"/>
      <c r="K52" s="227"/>
      <c r="L52" s="228"/>
      <c r="M52" s="226"/>
      <c r="N52" s="227"/>
      <c r="O52" s="228"/>
      <c r="P52" s="254" t="str">
        <f t="shared" si="1"/>
        <v/>
      </c>
      <c r="Q52" s="255"/>
      <c r="R52" s="256"/>
      <c r="S52" s="36" t="str">
        <f t="shared" si="0"/>
        <v>t/a</v>
      </c>
      <c r="T52" s="6">
        <f>helper_UNTERNEHMUNG!$B64</f>
        <v>2</v>
      </c>
    </row>
    <row r="53" spans="1:29" ht="25.5" hidden="1" customHeight="1" outlineLevel="1" x14ac:dyDescent="0.25">
      <c r="A53" s="233"/>
      <c r="B53" s="237" t="s">
        <v>69</v>
      </c>
      <c r="C53" s="238"/>
      <c r="D53" s="226"/>
      <c r="E53" s="228"/>
      <c r="F53" s="226"/>
      <c r="G53" s="227"/>
      <c r="H53" s="228"/>
      <c r="I53" s="226"/>
      <c r="J53" s="227"/>
      <c r="K53" s="227"/>
      <c r="L53" s="228"/>
      <c r="M53" s="226"/>
      <c r="N53" s="227"/>
      <c r="O53" s="228"/>
      <c r="P53" s="254" t="str">
        <f t="shared" si="1"/>
        <v/>
      </c>
      <c r="Q53" s="255"/>
      <c r="R53" s="256"/>
      <c r="S53" s="36" t="str">
        <f t="shared" si="0"/>
        <v>t/a</v>
      </c>
      <c r="T53" s="6">
        <f>helper_UNTERNEHMUNG!$B65</f>
        <v>2</v>
      </c>
      <c r="AC53" s="37"/>
    </row>
    <row r="54" spans="1:29" ht="25.5" hidden="1" customHeight="1" outlineLevel="1" x14ac:dyDescent="0.25">
      <c r="A54" s="233"/>
      <c r="B54" s="237" t="s">
        <v>70</v>
      </c>
      <c r="C54" s="238"/>
      <c r="D54" s="226"/>
      <c r="E54" s="228"/>
      <c r="F54" s="226"/>
      <c r="G54" s="227"/>
      <c r="H54" s="228"/>
      <c r="I54" s="226"/>
      <c r="J54" s="227"/>
      <c r="K54" s="227"/>
      <c r="L54" s="228"/>
      <c r="M54" s="226"/>
      <c r="N54" s="227"/>
      <c r="O54" s="228"/>
      <c r="P54" s="254" t="str">
        <f t="shared" si="1"/>
        <v/>
      </c>
      <c r="Q54" s="255"/>
      <c r="R54" s="256"/>
      <c r="S54" s="36" t="str">
        <f t="shared" si="0"/>
        <v>t/a</v>
      </c>
      <c r="T54" s="6">
        <f>helper_UNTERNEHMUNG!$B66</f>
        <v>2</v>
      </c>
      <c r="AC54" s="37"/>
    </row>
    <row r="55" spans="1:29" ht="25.5" hidden="1" customHeight="1" outlineLevel="1" x14ac:dyDescent="0.25">
      <c r="A55" s="233"/>
      <c r="B55" s="237" t="s">
        <v>71</v>
      </c>
      <c r="C55" s="238"/>
      <c r="D55" s="226"/>
      <c r="E55" s="228"/>
      <c r="F55" s="226"/>
      <c r="G55" s="227"/>
      <c r="H55" s="228"/>
      <c r="I55" s="226"/>
      <c r="J55" s="227"/>
      <c r="K55" s="227"/>
      <c r="L55" s="228"/>
      <c r="M55" s="226"/>
      <c r="N55" s="227"/>
      <c r="O55" s="228"/>
      <c r="P55" s="254" t="str">
        <f t="shared" si="1"/>
        <v/>
      </c>
      <c r="Q55" s="255"/>
      <c r="R55" s="256"/>
      <c r="S55" s="36" t="str">
        <f t="shared" si="0"/>
        <v>t/a</v>
      </c>
      <c r="T55" s="6">
        <f>helper_UNTERNEHMUNG!$B67</f>
        <v>2</v>
      </c>
      <c r="AC55" s="37"/>
    </row>
    <row r="56" spans="1:29" ht="25.5" hidden="1" customHeight="1" outlineLevel="1" x14ac:dyDescent="0.25">
      <c r="A56" s="233"/>
      <c r="B56" s="237" t="s">
        <v>72</v>
      </c>
      <c r="C56" s="238"/>
      <c r="D56" s="226"/>
      <c r="E56" s="228"/>
      <c r="F56" s="226"/>
      <c r="G56" s="227"/>
      <c r="H56" s="228"/>
      <c r="I56" s="226"/>
      <c r="J56" s="227"/>
      <c r="K56" s="227"/>
      <c r="L56" s="228"/>
      <c r="M56" s="226"/>
      <c r="N56" s="227"/>
      <c r="O56" s="228"/>
      <c r="P56" s="254" t="str">
        <f t="shared" si="1"/>
        <v/>
      </c>
      <c r="Q56" s="255"/>
      <c r="R56" s="256"/>
      <c r="S56" s="36" t="str">
        <f t="shared" si="0"/>
        <v>t/a</v>
      </c>
      <c r="T56" s="6">
        <f>helper_UNTERNEHMUNG!$B68</f>
        <v>2</v>
      </c>
      <c r="AC56" s="37"/>
    </row>
    <row r="57" spans="1:29" ht="25.5" hidden="1" customHeight="1" outlineLevel="1" x14ac:dyDescent="0.25">
      <c r="A57" s="233"/>
      <c r="B57" s="237" t="s">
        <v>171</v>
      </c>
      <c r="C57" s="238"/>
      <c r="D57" s="226"/>
      <c r="E57" s="228"/>
      <c r="F57" s="226"/>
      <c r="G57" s="227"/>
      <c r="H57" s="228"/>
      <c r="I57" s="226"/>
      <c r="J57" s="227"/>
      <c r="K57" s="227"/>
      <c r="L57" s="228"/>
      <c r="M57" s="226"/>
      <c r="N57" s="227"/>
      <c r="O57" s="228"/>
      <c r="P57" s="254" t="str">
        <f t="shared" si="1"/>
        <v/>
      </c>
      <c r="Q57" s="255"/>
      <c r="R57" s="256"/>
      <c r="S57" s="36" t="str">
        <f t="shared" si="0"/>
        <v>t/a</v>
      </c>
      <c r="T57" s="6">
        <f>helper_UNTERNEHMUNG!$B69</f>
        <v>2</v>
      </c>
      <c r="AC57" s="37"/>
    </row>
    <row r="58" spans="1:29" ht="25.5" hidden="1" customHeight="1" outlineLevel="1" x14ac:dyDescent="0.25">
      <c r="A58" s="233"/>
      <c r="B58" s="237" t="s">
        <v>73</v>
      </c>
      <c r="C58" s="238"/>
      <c r="D58" s="226"/>
      <c r="E58" s="228"/>
      <c r="F58" s="226"/>
      <c r="G58" s="227"/>
      <c r="H58" s="228"/>
      <c r="I58" s="226"/>
      <c r="J58" s="227"/>
      <c r="K58" s="227"/>
      <c r="L58" s="228"/>
      <c r="M58" s="226"/>
      <c r="N58" s="227"/>
      <c r="O58" s="228"/>
      <c r="P58" s="254" t="str">
        <f t="shared" si="1"/>
        <v/>
      </c>
      <c r="Q58" s="255"/>
      <c r="R58" s="256"/>
      <c r="S58" s="36" t="str">
        <f t="shared" si="0"/>
        <v>t/a</v>
      </c>
      <c r="T58" s="6">
        <f>helper_UNTERNEHMUNG!$B70</f>
        <v>2</v>
      </c>
      <c r="AC58" s="37"/>
    </row>
    <row r="59" spans="1:29" ht="15" customHeight="1" collapsed="1" x14ac:dyDescent="0.25">
      <c r="A59" s="135"/>
      <c r="B59" s="13"/>
      <c r="C59" s="13"/>
      <c r="D59" s="13"/>
      <c r="E59" s="13"/>
      <c r="F59" s="13"/>
      <c r="G59" s="13"/>
      <c r="H59" s="13"/>
      <c r="I59" s="13"/>
      <c r="J59" s="13"/>
      <c r="K59" s="13"/>
      <c r="L59" s="13"/>
      <c r="M59" s="13"/>
      <c r="N59" s="13"/>
      <c r="O59" s="13"/>
      <c r="P59" s="13"/>
      <c r="Q59" s="13"/>
      <c r="R59" s="13"/>
      <c r="S59" s="13"/>
      <c r="T59" s="6"/>
      <c r="AC59" s="37"/>
    </row>
    <row r="60" spans="1:29" ht="18" customHeight="1" x14ac:dyDescent="0.25">
      <c r="A60" s="229" t="s">
        <v>74</v>
      </c>
      <c r="B60" s="271" t="s">
        <v>163</v>
      </c>
      <c r="C60" s="271"/>
      <c r="D60" s="271"/>
      <c r="E60" s="271"/>
      <c r="F60" s="271"/>
      <c r="G60" s="271"/>
      <c r="H60" s="271"/>
      <c r="I60" s="271"/>
      <c r="J60" s="271"/>
      <c r="K60" s="271"/>
      <c r="L60" s="29"/>
      <c r="M60" s="29"/>
      <c r="N60" s="29"/>
      <c r="O60" s="29"/>
      <c r="P60" s="29"/>
      <c r="Q60" s="29"/>
      <c r="R60" s="29"/>
      <c r="S60" s="31"/>
      <c r="T60" s="6"/>
      <c r="AC60" s="37"/>
    </row>
    <row r="61" spans="1:29" ht="18" customHeight="1" x14ac:dyDescent="0.25">
      <c r="A61" s="230"/>
      <c r="B61" s="219"/>
      <c r="C61" s="219"/>
      <c r="D61" s="219"/>
      <c r="E61" s="219"/>
      <c r="F61" s="219"/>
      <c r="G61" s="219"/>
      <c r="H61" s="219"/>
      <c r="I61" s="219"/>
      <c r="J61" s="219"/>
      <c r="K61" s="219"/>
      <c r="L61" s="6"/>
      <c r="M61" s="6"/>
      <c r="N61" s="6"/>
      <c r="O61" s="6"/>
      <c r="P61" s="6"/>
      <c r="Q61" s="6"/>
      <c r="R61" s="6"/>
      <c r="S61" s="22"/>
      <c r="T61" s="21">
        <f>helper_UNTERNEHMUNG!$B$73</f>
        <v>0</v>
      </c>
      <c r="AC61" s="37"/>
    </row>
    <row r="62" spans="1:29" ht="22.5" customHeight="1" x14ac:dyDescent="0.25">
      <c r="A62" s="230"/>
      <c r="B62" s="219" t="s">
        <v>162</v>
      </c>
      <c r="C62" s="219"/>
      <c r="D62" s="219"/>
      <c r="E62" s="219"/>
      <c r="F62" s="219"/>
      <c r="G62" s="219"/>
      <c r="H62" s="221"/>
      <c r="I62" s="223"/>
      <c r="J62" s="32"/>
      <c r="K62" s="32"/>
      <c r="L62" s="6"/>
      <c r="M62" s="6"/>
      <c r="N62" s="6"/>
      <c r="O62" s="247"/>
      <c r="P62" s="247"/>
      <c r="Q62" s="6"/>
      <c r="R62" s="6"/>
      <c r="S62" s="22"/>
      <c r="T62" s="6"/>
      <c r="AC62" s="37"/>
    </row>
    <row r="63" spans="1:29" ht="22.5" customHeight="1" x14ac:dyDescent="0.25">
      <c r="A63" s="230"/>
      <c r="B63" s="219"/>
      <c r="C63" s="219"/>
      <c r="D63" s="219"/>
      <c r="E63" s="219"/>
      <c r="F63" s="219"/>
      <c r="G63" s="219"/>
      <c r="H63" s="32"/>
      <c r="I63" s="32"/>
      <c r="J63" s="32"/>
      <c r="K63" s="32"/>
      <c r="L63" s="6"/>
      <c r="M63" s="6"/>
      <c r="N63" s="6"/>
      <c r="O63" s="247"/>
      <c r="P63" s="247"/>
      <c r="Q63" s="6"/>
      <c r="R63" s="6"/>
      <c r="S63" s="22"/>
      <c r="T63" s="6"/>
      <c r="AC63" s="37"/>
    </row>
    <row r="64" spans="1:29" ht="22.5" customHeight="1" x14ac:dyDescent="0.3">
      <c r="A64" s="230"/>
      <c r="B64" s="219"/>
      <c r="C64" s="219"/>
      <c r="D64" s="219"/>
      <c r="E64" s="219"/>
      <c r="F64" s="219"/>
      <c r="G64" s="219"/>
      <c r="H64" s="267"/>
      <c r="I64" s="268"/>
      <c r="J64" s="32"/>
      <c r="K64" s="32"/>
      <c r="L64" s="6"/>
      <c r="M64" s="6"/>
      <c r="N64" s="6"/>
      <c r="O64" s="247"/>
      <c r="P64" s="247"/>
      <c r="Q64" s="6"/>
      <c r="R64" s="6"/>
      <c r="S64" s="22"/>
      <c r="T64" s="21"/>
      <c r="AC64" s="37"/>
    </row>
    <row r="65" spans="1:20" ht="22.5" customHeight="1" x14ac:dyDescent="0.25">
      <c r="A65" s="230"/>
      <c r="B65" s="219"/>
      <c r="C65" s="219"/>
      <c r="D65" s="219"/>
      <c r="E65" s="219"/>
      <c r="F65" s="219"/>
      <c r="G65" s="219"/>
      <c r="H65" s="32"/>
      <c r="I65" s="32"/>
      <c r="J65" s="32"/>
      <c r="K65" s="32"/>
      <c r="L65" s="6"/>
      <c r="M65" s="6"/>
      <c r="N65" s="33"/>
      <c r="O65" s="257"/>
      <c r="P65" s="257"/>
      <c r="Q65" s="33"/>
      <c r="R65" s="6"/>
      <c r="S65" s="22"/>
      <c r="T65" s="6"/>
    </row>
    <row r="66" spans="1:20" ht="22.5" customHeight="1" x14ac:dyDescent="0.3">
      <c r="A66" s="230"/>
      <c r="B66" s="219"/>
      <c r="C66" s="219"/>
      <c r="D66" s="219"/>
      <c r="E66" s="219"/>
      <c r="F66" s="219"/>
      <c r="G66" s="219"/>
      <c r="H66" s="269"/>
      <c r="I66" s="270"/>
      <c r="J66" s="32"/>
      <c r="K66" s="32"/>
      <c r="L66" s="6"/>
      <c r="M66" s="6"/>
      <c r="N66" s="33"/>
      <c r="O66" s="34"/>
      <c r="P66" s="6"/>
      <c r="Q66" s="33"/>
      <c r="R66" s="34"/>
      <c r="S66" s="22"/>
      <c r="T66" s="21"/>
    </row>
    <row r="67" spans="1:20" ht="6.75" customHeight="1" x14ac:dyDescent="0.25">
      <c r="A67" s="230"/>
      <c r="B67" s="30"/>
      <c r="C67" s="30"/>
      <c r="D67" s="30"/>
      <c r="E67" s="30"/>
      <c r="F67" s="30"/>
      <c r="G67" s="30"/>
      <c r="H67" s="18"/>
      <c r="I67" s="18"/>
      <c r="J67" s="32"/>
      <c r="K67" s="32"/>
      <c r="L67" s="6"/>
      <c r="M67" s="6"/>
      <c r="N67" s="6"/>
      <c r="O67" s="6"/>
      <c r="P67" s="6"/>
      <c r="Q67" s="6"/>
      <c r="R67" s="6"/>
      <c r="S67" s="22"/>
      <c r="T67" s="6"/>
    </row>
    <row r="68" spans="1:20" ht="18" customHeight="1" x14ac:dyDescent="0.25">
      <c r="A68" s="230"/>
      <c r="B68" s="219" t="s">
        <v>161</v>
      </c>
      <c r="C68" s="219"/>
      <c r="D68" s="219"/>
      <c r="E68" s="219"/>
      <c r="F68" s="219"/>
      <c r="G68" s="219"/>
      <c r="H68" s="219"/>
      <c r="I68" s="219"/>
      <c r="J68" s="219"/>
      <c r="K68" s="219"/>
      <c r="L68" s="6"/>
      <c r="M68" s="6"/>
      <c r="N68" s="6"/>
      <c r="O68" s="6"/>
      <c r="P68" s="6"/>
      <c r="Q68" s="6"/>
      <c r="R68" s="6"/>
      <c r="S68" s="22"/>
      <c r="T68" s="6"/>
    </row>
    <row r="69" spans="1:20" ht="18" customHeight="1" x14ac:dyDescent="0.25">
      <c r="A69" s="231"/>
      <c r="B69" s="220"/>
      <c r="C69" s="220"/>
      <c r="D69" s="220"/>
      <c r="E69" s="220"/>
      <c r="F69" s="220"/>
      <c r="G69" s="220"/>
      <c r="H69" s="220"/>
      <c r="I69" s="220"/>
      <c r="J69" s="220"/>
      <c r="K69" s="220"/>
      <c r="L69" s="23"/>
      <c r="M69" s="23"/>
      <c r="N69" s="23"/>
      <c r="O69" s="23"/>
      <c r="P69" s="23"/>
      <c r="Q69" s="23"/>
      <c r="R69" s="23"/>
      <c r="S69" s="35"/>
      <c r="T69" s="6"/>
    </row>
    <row r="70" spans="1:20" ht="11.25" customHeight="1" x14ac:dyDescent="0.25">
      <c r="A70" s="302" t="s">
        <v>25</v>
      </c>
      <c r="B70" s="302"/>
      <c r="C70" s="302"/>
      <c r="D70" s="302"/>
      <c r="E70" s="302"/>
      <c r="F70" s="302"/>
      <c r="G70" s="302"/>
      <c r="H70" s="302"/>
      <c r="I70" s="302"/>
      <c r="J70" s="302"/>
      <c r="K70" s="302"/>
      <c r="L70" s="302"/>
      <c r="M70" s="302"/>
      <c r="N70" s="302"/>
      <c r="O70" s="302"/>
      <c r="P70" s="302"/>
      <c r="Q70" s="302"/>
      <c r="R70" s="302"/>
      <c r="S70" s="302"/>
      <c r="T70" s="6"/>
    </row>
    <row r="71" spans="1:20" ht="11.25" customHeight="1" x14ac:dyDescent="0.25">
      <c r="A71" s="218" t="s">
        <v>26</v>
      </c>
      <c r="B71" s="218"/>
      <c r="C71" s="218"/>
      <c r="D71" s="218"/>
      <c r="E71" s="218"/>
      <c r="F71" s="218"/>
      <c r="G71" s="218"/>
      <c r="H71" s="218"/>
      <c r="I71" s="218"/>
      <c r="J71" s="218"/>
      <c r="K71" s="218"/>
      <c r="L71" s="218"/>
      <c r="M71" s="15"/>
      <c r="N71" s="302"/>
      <c r="O71" s="302"/>
      <c r="P71" s="302"/>
      <c r="Q71" s="302"/>
      <c r="R71" s="302"/>
      <c r="S71" s="302"/>
      <c r="T71" s="6"/>
    </row>
    <row r="72" spans="1:20" ht="24.75" customHeight="1" x14ac:dyDescent="0.25">
      <c r="A72" s="312" t="s">
        <v>24</v>
      </c>
      <c r="B72" s="313"/>
      <c r="C72" s="313"/>
      <c r="D72" s="313"/>
      <c r="E72" s="313"/>
      <c r="F72" s="313"/>
      <c r="G72" s="313"/>
      <c r="H72" s="313"/>
      <c r="I72" s="313"/>
      <c r="J72" s="313"/>
      <c r="K72" s="313"/>
      <c r="L72" s="313"/>
      <c r="M72" s="313"/>
      <c r="N72" s="313"/>
      <c r="O72" s="313"/>
      <c r="P72" s="313"/>
      <c r="Q72" s="313"/>
      <c r="R72" s="313"/>
      <c r="S72" s="313"/>
      <c r="T72" s="6"/>
    </row>
  </sheetData>
  <sheetProtection algorithmName="SHA-512" hashValue="LEsdu+1SP4052QcOGmhydc//FZAw7jf9gh7m1g15W0Ccn53QVdNXBgz2t7LLDHP1T+aONa1tW7fhtWZ8KiL5jw==" saltValue="Rf4GU0oyouyzdZp3nkdKOw==" spinCount="100000" sheet="1" formatRows="0" selectLockedCells="1"/>
  <mergeCells count="242">
    <mergeCell ref="A42:A58"/>
    <mergeCell ref="P56:R56"/>
    <mergeCell ref="D57:E57"/>
    <mergeCell ref="F57:H57"/>
    <mergeCell ref="M57:O57"/>
    <mergeCell ref="P57:R57"/>
    <mergeCell ref="D58:E58"/>
    <mergeCell ref="F58:H58"/>
    <mergeCell ref="M58:O58"/>
    <mergeCell ref="P58:R58"/>
    <mergeCell ref="P53:R53"/>
    <mergeCell ref="D54:E54"/>
    <mergeCell ref="F54:H54"/>
    <mergeCell ref="M54:O54"/>
    <mergeCell ref="P54:R54"/>
    <mergeCell ref="D55:E55"/>
    <mergeCell ref="F55:H55"/>
    <mergeCell ref="M55:O55"/>
    <mergeCell ref="P55:R55"/>
    <mergeCell ref="B53:C53"/>
    <mergeCell ref="B54:C54"/>
    <mergeCell ref="B58:C58"/>
    <mergeCell ref="D49:E49"/>
    <mergeCell ref="F49:H49"/>
    <mergeCell ref="B48:C48"/>
    <mergeCell ref="B49:C49"/>
    <mergeCell ref="B50:C50"/>
    <mergeCell ref="B51:C51"/>
    <mergeCell ref="D53:E53"/>
    <mergeCell ref="F53:H53"/>
    <mergeCell ref="M53:O53"/>
    <mergeCell ref="D56:E56"/>
    <mergeCell ref="F56:H56"/>
    <mergeCell ref="M56:O56"/>
    <mergeCell ref="I53:L53"/>
    <mergeCell ref="I54:L54"/>
    <mergeCell ref="I55:L55"/>
    <mergeCell ref="I56:L56"/>
    <mergeCell ref="M49:O49"/>
    <mergeCell ref="D50:E50"/>
    <mergeCell ref="F50:H50"/>
    <mergeCell ref="M50:O50"/>
    <mergeCell ref="D51:E51"/>
    <mergeCell ref="F51:H51"/>
    <mergeCell ref="M51:O51"/>
    <mergeCell ref="D52:E52"/>
    <mergeCell ref="F52:H52"/>
    <mergeCell ref="M52:O52"/>
    <mergeCell ref="F45:H45"/>
    <mergeCell ref="F46:H46"/>
    <mergeCell ref="F47:H47"/>
    <mergeCell ref="I45:L45"/>
    <mergeCell ref="I46:L46"/>
    <mergeCell ref="P46:R46"/>
    <mergeCell ref="P47:R47"/>
    <mergeCell ref="I57:L57"/>
    <mergeCell ref="B52:C52"/>
    <mergeCell ref="P49:R49"/>
    <mergeCell ref="P50:R50"/>
    <mergeCell ref="P51:R51"/>
    <mergeCell ref="P52:R52"/>
    <mergeCell ref="D48:E48"/>
    <mergeCell ref="F48:H48"/>
    <mergeCell ref="I48:L48"/>
    <mergeCell ref="I49:L49"/>
    <mergeCell ref="I50:L50"/>
    <mergeCell ref="I51:L51"/>
    <mergeCell ref="I52:L52"/>
    <mergeCell ref="B55:C55"/>
    <mergeCell ref="B56:C56"/>
    <mergeCell ref="B57:C57"/>
    <mergeCell ref="P48:R48"/>
    <mergeCell ref="M44:O44"/>
    <mergeCell ref="M43:O43"/>
    <mergeCell ref="P43:R43"/>
    <mergeCell ref="L40:O40"/>
    <mergeCell ref="I47:L47"/>
    <mergeCell ref="M45:O45"/>
    <mergeCell ref="M46:O46"/>
    <mergeCell ref="M47:O47"/>
    <mergeCell ref="M48:O48"/>
    <mergeCell ref="P45:R45"/>
    <mergeCell ref="I44:L44"/>
    <mergeCell ref="I43:L43"/>
    <mergeCell ref="A72:S72"/>
    <mergeCell ref="B19:B22"/>
    <mergeCell ref="A14:A22"/>
    <mergeCell ref="D28:E28"/>
    <mergeCell ref="D29:E29"/>
    <mergeCell ref="D27:E27"/>
    <mergeCell ref="N16:S16"/>
    <mergeCell ref="N18:S18"/>
    <mergeCell ref="N19:S19"/>
    <mergeCell ref="N20:S20"/>
    <mergeCell ref="C22:S22"/>
    <mergeCell ref="F26:K26"/>
    <mergeCell ref="F27:K27"/>
    <mergeCell ref="I20:K20"/>
    <mergeCell ref="I14:K14"/>
    <mergeCell ref="I16:K16"/>
    <mergeCell ref="B30:C30"/>
    <mergeCell ref="D30:E30"/>
    <mergeCell ref="F30:K30"/>
    <mergeCell ref="B35:C35"/>
    <mergeCell ref="A41:S41"/>
    <mergeCell ref="F36:K36"/>
    <mergeCell ref="F38:K38"/>
    <mergeCell ref="F39:K39"/>
    <mergeCell ref="A1:T1"/>
    <mergeCell ref="F28:K28"/>
    <mergeCell ref="D24:E25"/>
    <mergeCell ref="B24:C25"/>
    <mergeCell ref="A70:S70"/>
    <mergeCell ref="N71:S71"/>
    <mergeCell ref="F29:K29"/>
    <mergeCell ref="B26:C26"/>
    <mergeCell ref="B27:C27"/>
    <mergeCell ref="B28:C28"/>
    <mergeCell ref="B29:C29"/>
    <mergeCell ref="B40:C40"/>
    <mergeCell ref="D40:E40"/>
    <mergeCell ref="F40:K40"/>
    <mergeCell ref="D26:E26"/>
    <mergeCell ref="F24:K25"/>
    <mergeCell ref="B31:C31"/>
    <mergeCell ref="D31:E31"/>
    <mergeCell ref="F31:K31"/>
    <mergeCell ref="A2:S2"/>
    <mergeCell ref="A23:S23"/>
    <mergeCell ref="A12:S12"/>
    <mergeCell ref="A11:S11"/>
    <mergeCell ref="L30:O30"/>
    <mergeCell ref="C5:G5"/>
    <mergeCell ref="C7:G7"/>
    <mergeCell ref="C9:G9"/>
    <mergeCell ref="C6:G6"/>
    <mergeCell ref="C8:G8"/>
    <mergeCell ref="K3:S3"/>
    <mergeCell ref="C10:G10"/>
    <mergeCell ref="K4:S4"/>
    <mergeCell ref="K6:S6"/>
    <mergeCell ref="K8:S8"/>
    <mergeCell ref="K10:S10"/>
    <mergeCell ref="K5:S5"/>
    <mergeCell ref="K7:S7"/>
    <mergeCell ref="K9:S9"/>
    <mergeCell ref="A3:A10"/>
    <mergeCell ref="I3:I10"/>
    <mergeCell ref="H3:H10"/>
    <mergeCell ref="B34:C34"/>
    <mergeCell ref="D34:E34"/>
    <mergeCell ref="F34:K34"/>
    <mergeCell ref="A13:S13"/>
    <mergeCell ref="N14:S14"/>
    <mergeCell ref="C19:H19"/>
    <mergeCell ref="I19:K19"/>
    <mergeCell ref="C20:H20"/>
    <mergeCell ref="B14:H14"/>
    <mergeCell ref="L14:M14"/>
    <mergeCell ref="B15:H16"/>
    <mergeCell ref="N17:S17"/>
    <mergeCell ref="B17:H18"/>
    <mergeCell ref="N15:S15"/>
    <mergeCell ref="I17:M18"/>
    <mergeCell ref="L27:O27"/>
    <mergeCell ref="L28:O28"/>
    <mergeCell ref="L29:O29"/>
    <mergeCell ref="D32:E32"/>
    <mergeCell ref="C4:G4"/>
    <mergeCell ref="C3:G3"/>
    <mergeCell ref="O65:P65"/>
    <mergeCell ref="B39:C39"/>
    <mergeCell ref="P24:S25"/>
    <mergeCell ref="P26:R26"/>
    <mergeCell ref="P27:R27"/>
    <mergeCell ref="P28:R28"/>
    <mergeCell ref="P29:R29"/>
    <mergeCell ref="L24:O25"/>
    <mergeCell ref="L26:O26"/>
    <mergeCell ref="B62:G66"/>
    <mergeCell ref="H62:I62"/>
    <mergeCell ref="H64:I64"/>
    <mergeCell ref="H66:I66"/>
    <mergeCell ref="O64:P64"/>
    <mergeCell ref="B60:K61"/>
    <mergeCell ref="B36:C36"/>
    <mergeCell ref="D36:E36"/>
    <mergeCell ref="D37:E37"/>
    <mergeCell ref="D38:E38"/>
    <mergeCell ref="D39:E39"/>
    <mergeCell ref="B37:C37"/>
    <mergeCell ref="B38:C38"/>
    <mergeCell ref="L31:O31"/>
    <mergeCell ref="L32:O32"/>
    <mergeCell ref="T15:T16"/>
    <mergeCell ref="T17:T18"/>
    <mergeCell ref="C21:S21"/>
    <mergeCell ref="D35:E35"/>
    <mergeCell ref="O62:P63"/>
    <mergeCell ref="P30:R30"/>
    <mergeCell ref="P31:R31"/>
    <mergeCell ref="P32:R32"/>
    <mergeCell ref="P33:R33"/>
    <mergeCell ref="P34:R34"/>
    <mergeCell ref="P35:R35"/>
    <mergeCell ref="P36:R36"/>
    <mergeCell ref="P37:R37"/>
    <mergeCell ref="P38:R38"/>
    <mergeCell ref="P39:R39"/>
    <mergeCell ref="P40:R40"/>
    <mergeCell ref="L33:O33"/>
    <mergeCell ref="L34:O34"/>
    <mergeCell ref="L35:O35"/>
    <mergeCell ref="L36:O36"/>
    <mergeCell ref="L37:O37"/>
    <mergeCell ref="L39:O39"/>
    <mergeCell ref="L38:O38"/>
    <mergeCell ref="P44:R44"/>
    <mergeCell ref="A71:L71"/>
    <mergeCell ref="B68:K69"/>
    <mergeCell ref="F32:K32"/>
    <mergeCell ref="B32:C32"/>
    <mergeCell ref="F35:K35"/>
    <mergeCell ref="B33:C33"/>
    <mergeCell ref="D33:E33"/>
    <mergeCell ref="F33:K33"/>
    <mergeCell ref="I58:L58"/>
    <mergeCell ref="A60:A69"/>
    <mergeCell ref="A24:A40"/>
    <mergeCell ref="F37:K37"/>
    <mergeCell ref="B43:C43"/>
    <mergeCell ref="B44:C44"/>
    <mergeCell ref="B45:C45"/>
    <mergeCell ref="B46:C46"/>
    <mergeCell ref="B47:C47"/>
    <mergeCell ref="D44:E44"/>
    <mergeCell ref="F44:H44"/>
    <mergeCell ref="D43:E43"/>
    <mergeCell ref="F43:H43"/>
    <mergeCell ref="D45:E45"/>
    <mergeCell ref="D46:E46"/>
    <mergeCell ref="D47:E47"/>
  </mergeCells>
  <phoneticPr fontId="16" type="noConversion"/>
  <conditionalFormatting sqref="O65:P65">
    <cfRule type="cellIs" dxfId="54" priority="5" operator="equal">
      <formula>5</formula>
    </cfRule>
    <cfRule type="cellIs" dxfId="53" priority="6" operator="lessThan">
      <formula>5</formula>
    </cfRule>
    <cfRule type="cellIs" dxfId="52" priority="7" operator="greaterThan">
      <formula>5</formula>
    </cfRule>
  </conditionalFormatting>
  <hyperlinks>
    <hyperlink ref="A71" r:id="rId1" display="https://eur-lex.europa.eu/legal-content/EN/TXT/HTML/?uri=CELEX:32006R1893 (Annex 1)" xr:uid="{06C979E4-95EE-42C8-B80E-F5A65EF3D25C}"/>
    <hyperlink ref="A72" r:id="rId2" location="Tabelle:_NACE_Rev._2:_Abschnitte_und_NACE_Rev._1.1 " xr:uid="{0E87B2EB-7A68-4948-B126-0526FACF2F8F}"/>
    <hyperlink ref="A71:K71" r:id="rId3" display="https://eur-lex.europa.eu/legal-content/EN/TXT/HTML/?uri=CELEX:32006R1893" xr:uid="{FBC07962-DC3F-414F-9B1E-59ADDBDE4DEA}"/>
  </hyperlinks>
  <printOptions horizontalCentered="1"/>
  <pageMargins left="0.70866141732283472" right="0.70866141732283472" top="0.74803149606299213" bottom="0.74803149606299213" header="0.31496062992125984" footer="0.31496062992125984"/>
  <pageSetup paperSize="9" scale="72" fitToHeight="0" orientation="portrait" verticalDpi="0" r:id="rId4"/>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drawing r:id="rId5"/>
  <legacyDrawing r:id="rId6"/>
  <mc:AlternateContent xmlns:mc="http://schemas.openxmlformats.org/markup-compatibility/2006">
    <mc:Choice Requires="x14">
      <controls>
        <mc:AlternateContent xmlns:mc="http://schemas.openxmlformats.org/markup-compatibility/2006">
          <mc:Choice Requires="x14">
            <control shapeId="2218" r:id="rId7" name="Option Button 170">
              <controlPr defaultSize="0" autoFill="0" autoLine="0" autoPict="0">
                <anchor moveWithCells="1">
                  <from>
                    <xdr:col>8</xdr:col>
                    <xdr:colOff>257175</xdr:colOff>
                    <xdr:row>14</xdr:row>
                    <xdr:rowOff>161925</xdr:rowOff>
                  </from>
                  <to>
                    <xdr:col>10</xdr:col>
                    <xdr:colOff>38100</xdr:colOff>
                    <xdr:row>15</xdr:row>
                    <xdr:rowOff>276225</xdr:rowOff>
                  </to>
                </anchor>
              </controlPr>
            </control>
          </mc:Choice>
        </mc:AlternateContent>
        <mc:AlternateContent xmlns:mc="http://schemas.openxmlformats.org/markup-compatibility/2006">
          <mc:Choice Requires="x14">
            <control shapeId="2220" r:id="rId8" name="Option Button 172">
              <controlPr defaultSize="0" autoFill="0" autoLine="0" autoPict="0">
                <anchor moveWithCells="1">
                  <from>
                    <xdr:col>11</xdr:col>
                    <xdr:colOff>304800</xdr:colOff>
                    <xdr:row>14</xdr:row>
                    <xdr:rowOff>161925</xdr:rowOff>
                  </from>
                  <to>
                    <xdr:col>12</xdr:col>
                    <xdr:colOff>228600</xdr:colOff>
                    <xdr:row>15</xdr:row>
                    <xdr:rowOff>266700</xdr:rowOff>
                  </to>
                </anchor>
              </controlPr>
            </control>
          </mc:Choice>
        </mc:AlternateContent>
        <mc:AlternateContent xmlns:mc="http://schemas.openxmlformats.org/markup-compatibility/2006">
          <mc:Choice Requires="x14">
            <control shapeId="2231" r:id="rId9" name="Group Box 183">
              <controlPr defaultSize="0" autoFill="0" autoPict="0">
                <anchor moveWithCells="1">
                  <from>
                    <xdr:col>8</xdr:col>
                    <xdr:colOff>0</xdr:colOff>
                    <xdr:row>13</xdr:row>
                    <xdr:rowOff>190500</xdr:rowOff>
                  </from>
                  <to>
                    <xdr:col>13</xdr:col>
                    <xdr:colOff>0</xdr:colOff>
                    <xdr:row>16</xdr:row>
                    <xdr:rowOff>0</xdr:rowOff>
                  </to>
                </anchor>
              </controlPr>
            </control>
          </mc:Choice>
        </mc:AlternateContent>
        <mc:AlternateContent xmlns:mc="http://schemas.openxmlformats.org/markup-compatibility/2006">
          <mc:Choice Requires="x14">
            <control shapeId="2232" r:id="rId10" name="Group Box 184">
              <controlPr defaultSize="0" autoFill="0" autoPict="0">
                <anchor moveWithCells="1">
                  <from>
                    <xdr:col>8</xdr:col>
                    <xdr:colOff>0</xdr:colOff>
                    <xdr:row>15</xdr:row>
                    <xdr:rowOff>381000</xdr:rowOff>
                  </from>
                  <to>
                    <xdr:col>13</xdr:col>
                    <xdr:colOff>0</xdr:colOff>
                    <xdr:row>17</xdr:row>
                    <xdr:rowOff>381000</xdr:rowOff>
                  </to>
                </anchor>
              </controlPr>
            </control>
          </mc:Choice>
        </mc:AlternateContent>
        <mc:AlternateContent xmlns:mc="http://schemas.openxmlformats.org/markup-compatibility/2006">
          <mc:Choice Requires="x14">
            <control shapeId="2233" r:id="rId11" name="Option Button 185">
              <controlPr defaultSize="0" autoFill="0" autoLine="0" autoPict="0">
                <anchor moveWithCells="1">
                  <from>
                    <xdr:col>8</xdr:col>
                    <xdr:colOff>257175</xdr:colOff>
                    <xdr:row>16</xdr:row>
                    <xdr:rowOff>133350</xdr:rowOff>
                  </from>
                  <to>
                    <xdr:col>10</xdr:col>
                    <xdr:colOff>38100</xdr:colOff>
                    <xdr:row>17</xdr:row>
                    <xdr:rowOff>238125</xdr:rowOff>
                  </to>
                </anchor>
              </controlPr>
            </control>
          </mc:Choice>
        </mc:AlternateContent>
        <mc:AlternateContent xmlns:mc="http://schemas.openxmlformats.org/markup-compatibility/2006">
          <mc:Choice Requires="x14">
            <control shapeId="2235" r:id="rId12" name="Option Button 187">
              <controlPr defaultSize="0" autoFill="0" autoLine="0" autoPict="0">
                <anchor moveWithCells="1">
                  <from>
                    <xdr:col>11</xdr:col>
                    <xdr:colOff>295275</xdr:colOff>
                    <xdr:row>16</xdr:row>
                    <xdr:rowOff>133350</xdr:rowOff>
                  </from>
                  <to>
                    <xdr:col>12</xdr:col>
                    <xdr:colOff>219075</xdr:colOff>
                    <xdr:row>17</xdr:row>
                    <xdr:rowOff>247650</xdr:rowOff>
                  </to>
                </anchor>
              </controlPr>
            </control>
          </mc:Choice>
        </mc:AlternateContent>
        <mc:AlternateContent xmlns:mc="http://schemas.openxmlformats.org/markup-compatibility/2006">
          <mc:Choice Requires="x14">
            <control shapeId="2236" r:id="rId13" name="Group Box 188">
              <controlPr defaultSize="0" autoFill="0" autoPict="0">
                <anchor moveWithCells="1">
                  <from>
                    <xdr:col>8</xdr:col>
                    <xdr:colOff>0</xdr:colOff>
                    <xdr:row>18</xdr:row>
                    <xdr:rowOff>0</xdr:rowOff>
                  </from>
                  <to>
                    <xdr:col>13</xdr:col>
                    <xdr:colOff>0</xdr:colOff>
                    <xdr:row>19</xdr:row>
                    <xdr:rowOff>0</xdr:rowOff>
                  </to>
                </anchor>
              </controlPr>
            </control>
          </mc:Choice>
        </mc:AlternateContent>
        <mc:AlternateContent xmlns:mc="http://schemas.openxmlformats.org/markup-compatibility/2006">
          <mc:Choice Requires="x14">
            <control shapeId="2237" r:id="rId14" name="Option Button 189">
              <controlPr defaultSize="0" autoFill="0" autoLine="0" autoPict="0">
                <anchor moveWithCells="1">
                  <from>
                    <xdr:col>8</xdr:col>
                    <xdr:colOff>257175</xdr:colOff>
                    <xdr:row>18</xdr:row>
                    <xdr:rowOff>104775</xdr:rowOff>
                  </from>
                  <to>
                    <xdr:col>10</xdr:col>
                    <xdr:colOff>28575</xdr:colOff>
                    <xdr:row>18</xdr:row>
                    <xdr:rowOff>323850</xdr:rowOff>
                  </to>
                </anchor>
              </controlPr>
            </control>
          </mc:Choice>
        </mc:AlternateContent>
        <mc:AlternateContent xmlns:mc="http://schemas.openxmlformats.org/markup-compatibility/2006">
          <mc:Choice Requires="x14">
            <control shapeId="2238" r:id="rId15" name="Option Button 190">
              <controlPr defaultSize="0" autoFill="0" autoLine="0" autoPict="0">
                <anchor moveWithCells="1">
                  <from>
                    <xdr:col>11</xdr:col>
                    <xdr:colOff>295275</xdr:colOff>
                    <xdr:row>18</xdr:row>
                    <xdr:rowOff>104775</xdr:rowOff>
                  </from>
                  <to>
                    <xdr:col>12</xdr:col>
                    <xdr:colOff>219075</xdr:colOff>
                    <xdr:row>18</xdr:row>
                    <xdr:rowOff>323850</xdr:rowOff>
                  </to>
                </anchor>
              </controlPr>
            </control>
          </mc:Choice>
        </mc:AlternateContent>
        <mc:AlternateContent xmlns:mc="http://schemas.openxmlformats.org/markup-compatibility/2006">
          <mc:Choice Requires="x14">
            <control shapeId="2239" r:id="rId16" name="Group Box 191">
              <controlPr defaultSize="0" autoFill="0" autoPict="0">
                <anchor moveWithCells="1">
                  <from>
                    <xdr:col>8</xdr:col>
                    <xdr:colOff>0</xdr:colOff>
                    <xdr:row>18</xdr:row>
                    <xdr:rowOff>419100</xdr:rowOff>
                  </from>
                  <to>
                    <xdr:col>13</xdr:col>
                    <xdr:colOff>0</xdr:colOff>
                    <xdr:row>20</xdr:row>
                    <xdr:rowOff>0</xdr:rowOff>
                  </to>
                </anchor>
              </controlPr>
            </control>
          </mc:Choice>
        </mc:AlternateContent>
        <mc:AlternateContent xmlns:mc="http://schemas.openxmlformats.org/markup-compatibility/2006">
          <mc:Choice Requires="x14">
            <control shapeId="2240" r:id="rId17" name="Option Button 192">
              <controlPr defaultSize="0" autoFill="0" autoLine="0" autoPict="0">
                <anchor moveWithCells="1">
                  <from>
                    <xdr:col>8</xdr:col>
                    <xdr:colOff>257175</xdr:colOff>
                    <xdr:row>19</xdr:row>
                    <xdr:rowOff>114300</xdr:rowOff>
                  </from>
                  <to>
                    <xdr:col>10</xdr:col>
                    <xdr:colOff>28575</xdr:colOff>
                    <xdr:row>19</xdr:row>
                    <xdr:rowOff>333375</xdr:rowOff>
                  </to>
                </anchor>
              </controlPr>
            </control>
          </mc:Choice>
        </mc:AlternateContent>
        <mc:AlternateContent xmlns:mc="http://schemas.openxmlformats.org/markup-compatibility/2006">
          <mc:Choice Requires="x14">
            <control shapeId="2241" r:id="rId18" name="Option Button 193">
              <controlPr defaultSize="0" autoFill="0" autoLine="0" autoPict="0">
                <anchor moveWithCells="1">
                  <from>
                    <xdr:col>11</xdr:col>
                    <xdr:colOff>295275</xdr:colOff>
                    <xdr:row>19</xdr:row>
                    <xdr:rowOff>104775</xdr:rowOff>
                  </from>
                  <to>
                    <xdr:col>12</xdr:col>
                    <xdr:colOff>219075</xdr:colOff>
                    <xdr:row>19</xdr:row>
                    <xdr:rowOff>323850</xdr:rowOff>
                  </to>
                </anchor>
              </controlPr>
            </control>
          </mc:Choice>
        </mc:AlternateContent>
        <mc:AlternateContent xmlns:mc="http://schemas.openxmlformats.org/markup-compatibility/2006">
          <mc:Choice Requires="x14">
            <control shapeId="2139" r:id="rId19" name="Check Box 91">
              <controlPr defaultSize="0" autoFill="0" autoLine="0" autoPict="0">
                <anchor moveWithCells="1">
                  <from>
                    <xdr:col>13</xdr:col>
                    <xdr:colOff>190500</xdr:colOff>
                    <xdr:row>19</xdr:row>
                    <xdr:rowOff>38100</xdr:rowOff>
                  </from>
                  <to>
                    <xdr:col>15</xdr:col>
                    <xdr:colOff>28575</xdr:colOff>
                    <xdr:row>20</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A0704FF4-03BC-4CD1-8DC2-2A63503E4AE5}">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T3</xm:sqref>
        </x14:conditionalFormatting>
        <x14:conditionalFormatting xmlns:xm="http://schemas.microsoft.com/office/excel/2006/main">
          <x14:cfRule type="iconSet" priority="20" id="{94916133-97D5-4560-8B02-F0B7ED33F0DD}">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T17 T15 T26:T40</xm:sqref>
        </x14:conditionalFormatting>
        <x14:conditionalFormatting xmlns:xm="http://schemas.microsoft.com/office/excel/2006/main">
          <x14:cfRule type="iconSet" priority="11" id="{BE4ECBB2-EFBD-4677-8A3B-ECB2D132B0B2}">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T19:T21</xm:sqref>
        </x14:conditionalFormatting>
        <x14:conditionalFormatting xmlns:xm="http://schemas.microsoft.com/office/excel/2006/main">
          <x14:cfRule type="iconSet" priority="1" id="{6BB98321-960A-43F7-B1FA-D83305E4724A}">
            <x14:iconSet showValue="0" custom="1">
              <x14:cfvo type="percent">
                <xm:f>0</xm:f>
              </x14:cfvo>
              <x14:cfvo type="num">
                <xm:f>1</xm:f>
              </x14:cfvo>
              <x14:cfvo type="num">
                <xm:f>2</xm:f>
              </x14:cfvo>
              <x14:cfIcon iconSet="3Symbols" iconId="0"/>
              <x14:cfIcon iconSet="3Symbols" iconId="2"/>
              <x14:cfIcon iconSet="4RedToBlack" iconId="1"/>
            </x14:iconSet>
          </x14:cfRule>
          <xm:sqref>T44:T58</xm:sqref>
        </x14:conditionalFormatting>
        <x14:conditionalFormatting xmlns:xm="http://schemas.microsoft.com/office/excel/2006/main">
          <x14:cfRule type="iconSet" priority="4" id="{EA51D7B3-CF7C-4548-83F0-B896480659BD}">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T61 T64 T66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7DF911-52F8-474B-986B-B298CBFCF04A}">
          <x14:formula1>
            <xm:f>helper_UNTERNEHMUNG!$A$7:$A$8</xm:f>
          </x14:formula1>
          <xm:sqref>S26:S40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F1DDD-A2F1-415B-B8EF-2DADC737017B}">
  <sheetPr codeName="TAB11"/>
  <dimension ref="A1:U75"/>
  <sheetViews>
    <sheetView workbookViewId="0">
      <selection activeCell="E32" sqref="A1:XFD1048576"/>
    </sheetView>
  </sheetViews>
  <sheetFormatPr defaultColWidth="9.140625" defaultRowHeight="15" x14ac:dyDescent="0.25"/>
  <cols>
    <col min="1" max="1" width="52.7109375" style="118" bestFit="1" customWidth="1"/>
    <col min="2" max="2" width="74.140625" style="118" bestFit="1" customWidth="1"/>
    <col min="3" max="3" width="53.140625" style="118" bestFit="1" customWidth="1"/>
    <col min="4" max="4" width="21" style="118" bestFit="1" customWidth="1"/>
    <col min="5" max="16384" width="9.140625" style="118"/>
  </cols>
  <sheetData>
    <row r="1" spans="1:21" ht="15" customHeight="1" x14ac:dyDescent="0.25">
      <c r="A1" s="117"/>
    </row>
    <row r="2" spans="1:21" ht="15" customHeight="1" x14ac:dyDescent="0.25">
      <c r="A2" s="119" t="s">
        <v>275</v>
      </c>
    </row>
    <row r="4" spans="1:21" x14ac:dyDescent="0.25">
      <c r="A4" s="118" t="s">
        <v>164</v>
      </c>
      <c r="B4" s="120">
        <f>UNTERNEHMUNG!$H$62+UNTERNEHMUNG!$H$64+UNTERNEHMUNG!$H$66</f>
        <v>0</v>
      </c>
    </row>
    <row r="6" spans="1:21" x14ac:dyDescent="0.25">
      <c r="A6" s="118" t="s">
        <v>273</v>
      </c>
    </row>
    <row r="7" spans="1:21" x14ac:dyDescent="0.25">
      <c r="A7" s="118" t="s">
        <v>23</v>
      </c>
    </row>
    <row r="8" spans="1:21" x14ac:dyDescent="0.25">
      <c r="A8" s="118" t="s">
        <v>274</v>
      </c>
    </row>
    <row r="10" spans="1:21" x14ac:dyDescent="0.25">
      <c r="A10" s="118" t="s">
        <v>193</v>
      </c>
    </row>
    <row r="11" spans="1:21" x14ac:dyDescent="0.25">
      <c r="A11" s="118" t="str" cm="1">
        <f t="array" aca="1" ref="A11:U26" ca="1">_xlfn.LET(
    _xlpm.productCodes,     UNTERNEHMUNG!$B$44:$B$58,
    _xlpm.units,            UNTERNEHMUNG!$S$44:$S$58,
    _xlpm.values1,          UNTERNEHMUNG!$D$44:$D$58,
    _xlpm.values2,          UNTERNEHMUNG!$F$44:$F$58,
    _xlpm.values3,          UNTERNEHMUNG!$I$44:$I$58,
    _xlpm.values4,          UNTERNEHMUNG!$M$44:$M$58,
    _xlpm.values5,          UNTERNEHMUNG!$P$44:$P$58,
    _xlpm.axisUnit1,        $A$7,
    _xlpm.axisUnit2,        $A$8,
    _xlpm.rawValues,        _xlfn.HSTACK(_xlpm.values1, _xlpm.values2, _xlpm.values3, _xlpm.values4, _xlpm.values5),
    _xlpm.cleanValues,      IF((_xlpm.rawValues = 0) + (_xlpm.rawValues = ""), NA(), _xlpm.rawValues),
    _xlpm.valuesAxis1,      IF(_xlpm.units = _xlpm.axisUnit1, _xlpm.cleanValues, NA()),
    _xlpm.valuesAxis2,      IF(_xlpm.units = _xlpm.axisUnit2, _xlpm.cleanValues, NA()),
    _xlpm.resolveName,      _xlfn.LAMBDA(_xlpm.code,
                          _xlfn.LET(
                              _xlpm.nameLookup, VLOOKUP(_xlpm.code, UNTERNEHMUNG!$B$26:$E$40, 3, FALSE),
                              IF(_xlpm.nameLookup = 0, _xlpm.code, _xlpm.nameLookup)
                          )
                      ),
    _xlpm.names,            _xlfn.BYROW(_xlpm.productCodes, _xlfn.LAMBDA(_xlpm.row, _xlpm.resolveName(_xlpm.row))),
    _xlpm.namesEmpty,       _xlfn.EXPAND("", ROWS(_xlpm.names), 5, ""),
    _xlpm.headerRow,        _xlfn.HSTACK(
                         "Name",
                         "Code",
                         "Unit",
                         "Code_tons",
                         UNTERNEHMUNG!$D$43,
                         UNTERNEHMUNG!$F$43,
                         UNTERNEHMUNG!$I$43,
                         UNTERNEHMUNG!$M$43,
                         UNTERNEHMUNG!$P$43,
                         "Code_pcs",
                         UNTERNEHMUNG!$D$43,
                         UNTERNEHMUNG!$F$43,
                         UNTERNEHMUNG!$I$43,
                         UNTERNEHMUNG!$M$43,
                         UNTERNEHMUNG!$P$43,
                         "Names",
                         UNTERNEHMUNG!$D$43,
                         UNTERNEHMUNG!$F$43,
                         UNTERNEHMUNG!$I$43,
                         UNTERNEHMUNG!$M$43,
                         UNTERNEHMUNG!$P$43
                     ),
    _xlpm.bodyRows,         _xlfn.HSTACK(
                         _xlpm.names,
                         _xlpm.productCodes,
                         _xlpm.units,
                         _xlpm.productCodes&amp;"_tons",
                         _xlpm.valuesAxis1,
                         _xlpm.productCodes&amp;"_pcs",
                         _xlpm.valuesAxis2,
                         _xlpm.namesEmpty,
                         _xlpm.names
                     ),
    _xlfn.VSTACK(_xlpm.headerRow, _xlpm.bodyRows)
)</f>
        <v>Name</v>
      </c>
      <c r="B11" s="118" t="str">
        <f ca="1"/>
        <v>Code</v>
      </c>
      <c r="C11" s="118" t="str">
        <f ca="1"/>
        <v>Unit</v>
      </c>
      <c r="D11" s="118" t="str">
        <f ca="1"/>
        <v>Code_tons</v>
      </c>
      <c r="E11" s="118">
        <f ca="1"/>
        <v>2021</v>
      </c>
      <c r="F11" s="118">
        <f ca="1"/>
        <v>2022</v>
      </c>
      <c r="G11" s="118">
        <f ca="1"/>
        <v>2023</v>
      </c>
      <c r="H11" s="118">
        <f ca="1"/>
        <v>2024</v>
      </c>
      <c r="I11" s="118">
        <f ca="1"/>
        <v>2025</v>
      </c>
      <c r="J11" s="118" t="str">
        <f ca="1"/>
        <v>Code_pcs</v>
      </c>
      <c r="K11" s="118">
        <f ca="1"/>
        <v>2021</v>
      </c>
      <c r="L11" s="118">
        <f ca="1"/>
        <v>2022</v>
      </c>
      <c r="M11" s="118">
        <f ca="1"/>
        <v>2023</v>
      </c>
      <c r="N11" s="118">
        <f ca="1"/>
        <v>2024</v>
      </c>
      <c r="O11" s="118">
        <f ca="1"/>
        <v>2025</v>
      </c>
      <c r="P11" s="118" t="str">
        <f ca="1"/>
        <v>Names</v>
      </c>
      <c r="Q11" s="118">
        <f ca="1"/>
        <v>2021</v>
      </c>
      <c r="R11" s="118">
        <f ca="1"/>
        <v>2022</v>
      </c>
      <c r="S11" s="118">
        <f ca="1"/>
        <v>2023</v>
      </c>
      <c r="T11" s="118">
        <f ca="1"/>
        <v>2024</v>
      </c>
      <c r="U11" s="118">
        <f ca="1"/>
        <v>2025</v>
      </c>
    </row>
    <row r="12" spans="1:21" x14ac:dyDescent="0.25">
      <c r="A12" s="118" t="str">
        <f ca="1"/>
        <v>P1</v>
      </c>
      <c r="B12" s="118" t="str">
        <f ca="1"/>
        <v>P1</v>
      </c>
      <c r="C12" s="118" t="str">
        <f ca="1"/>
        <v>t/a</v>
      </c>
      <c r="D12" s="118" t="str">
        <f ca="1"/>
        <v>P1_tons</v>
      </c>
      <c r="E12" s="118" t="e">
        <f ca="1"/>
        <v>#N/A</v>
      </c>
      <c r="F12" s="118" t="e">
        <f ca="1"/>
        <v>#N/A</v>
      </c>
      <c r="G12" s="118" t="e">
        <f ca="1"/>
        <v>#N/A</v>
      </c>
      <c r="H12" s="118" t="e">
        <f ca="1"/>
        <v>#N/A</v>
      </c>
      <c r="I12" s="118" t="e">
        <f ca="1"/>
        <v>#N/A</v>
      </c>
      <c r="J12" s="118" t="str">
        <f ca="1"/>
        <v>P1_pcs</v>
      </c>
      <c r="K12" s="118" t="e">
        <f ca="1"/>
        <v>#N/A</v>
      </c>
      <c r="L12" s="118" t="e">
        <f ca="1"/>
        <v>#N/A</v>
      </c>
      <c r="M12" s="118" t="e">
        <f ca="1"/>
        <v>#N/A</v>
      </c>
      <c r="N12" s="118" t="e">
        <f ca="1"/>
        <v>#N/A</v>
      </c>
      <c r="O12" s="118" t="e">
        <f ca="1"/>
        <v>#N/A</v>
      </c>
      <c r="P12" s="118" t="str">
        <f ca="1"/>
        <v/>
      </c>
      <c r="Q12" s="118" t="str">
        <f ca="1"/>
        <v/>
      </c>
      <c r="R12" s="118" t="str">
        <f ca="1"/>
        <v/>
      </c>
      <c r="S12" s="118" t="str">
        <f ca="1"/>
        <v/>
      </c>
      <c r="T12" s="118" t="str">
        <f ca="1"/>
        <v/>
      </c>
      <c r="U12" s="118" t="str">
        <f ca="1"/>
        <v>P1</v>
      </c>
    </row>
    <row r="13" spans="1:21" x14ac:dyDescent="0.25">
      <c r="A13" s="118" t="str">
        <f ca="1"/>
        <v>P2</v>
      </c>
      <c r="B13" s="118" t="str">
        <f ca="1"/>
        <v>P2</v>
      </c>
      <c r="C13" s="118" t="str">
        <f ca="1"/>
        <v>t/a</v>
      </c>
      <c r="D13" s="118" t="str">
        <f ca="1"/>
        <v>P2_tons</v>
      </c>
      <c r="E13" s="118" t="e">
        <f ca="1"/>
        <v>#N/A</v>
      </c>
      <c r="F13" s="118" t="e">
        <f ca="1"/>
        <v>#N/A</v>
      </c>
      <c r="G13" s="118" t="e">
        <f ca="1"/>
        <v>#N/A</v>
      </c>
      <c r="H13" s="118" t="e">
        <f ca="1"/>
        <v>#N/A</v>
      </c>
      <c r="I13" s="118" t="e">
        <f ca="1"/>
        <v>#N/A</v>
      </c>
      <c r="J13" s="118" t="str">
        <f ca="1"/>
        <v>P2_pcs</v>
      </c>
      <c r="K13" s="118" t="e">
        <f ca="1"/>
        <v>#N/A</v>
      </c>
      <c r="L13" s="118" t="e">
        <f ca="1"/>
        <v>#N/A</v>
      </c>
      <c r="M13" s="118" t="e">
        <f ca="1"/>
        <v>#N/A</v>
      </c>
      <c r="N13" s="118" t="e">
        <f ca="1"/>
        <v>#N/A</v>
      </c>
      <c r="O13" s="118" t="e">
        <f ca="1"/>
        <v>#N/A</v>
      </c>
      <c r="P13" s="118" t="str">
        <f ca="1"/>
        <v/>
      </c>
      <c r="Q13" s="118" t="str">
        <f ca="1"/>
        <v/>
      </c>
      <c r="R13" s="118" t="str">
        <f ca="1"/>
        <v/>
      </c>
      <c r="S13" s="118" t="str">
        <f ca="1"/>
        <v/>
      </c>
      <c r="T13" s="118" t="str">
        <f ca="1"/>
        <v/>
      </c>
      <c r="U13" s="118" t="str">
        <f ca="1"/>
        <v>P2</v>
      </c>
    </row>
    <row r="14" spans="1:21" x14ac:dyDescent="0.25">
      <c r="A14" s="118" t="str">
        <f ca="1"/>
        <v>P3</v>
      </c>
      <c r="B14" s="118" t="str">
        <f ca="1"/>
        <v>P3</v>
      </c>
      <c r="C14" s="118" t="str">
        <f ca="1"/>
        <v>t/a</v>
      </c>
      <c r="D14" s="118" t="str">
        <f ca="1"/>
        <v>P3_tons</v>
      </c>
      <c r="E14" s="118" t="e">
        <f ca="1"/>
        <v>#N/A</v>
      </c>
      <c r="F14" s="118" t="e">
        <f ca="1"/>
        <v>#N/A</v>
      </c>
      <c r="G14" s="118" t="e">
        <f ca="1"/>
        <v>#N/A</v>
      </c>
      <c r="H14" s="118" t="e">
        <f ca="1"/>
        <v>#N/A</v>
      </c>
      <c r="I14" s="118" t="e">
        <f ca="1"/>
        <v>#N/A</v>
      </c>
      <c r="J14" s="118" t="str">
        <f ca="1"/>
        <v>P3_pcs</v>
      </c>
      <c r="K14" s="118" t="e">
        <f ca="1"/>
        <v>#N/A</v>
      </c>
      <c r="L14" s="118" t="e">
        <f ca="1"/>
        <v>#N/A</v>
      </c>
      <c r="M14" s="118" t="e">
        <f ca="1"/>
        <v>#N/A</v>
      </c>
      <c r="N14" s="118" t="e">
        <f ca="1"/>
        <v>#N/A</v>
      </c>
      <c r="O14" s="118" t="e">
        <f ca="1"/>
        <v>#N/A</v>
      </c>
      <c r="P14" s="118" t="str">
        <f ca="1"/>
        <v/>
      </c>
      <c r="Q14" s="118" t="str">
        <f ca="1"/>
        <v/>
      </c>
      <c r="R14" s="118" t="str">
        <f ca="1"/>
        <v/>
      </c>
      <c r="S14" s="118" t="str">
        <f ca="1"/>
        <v/>
      </c>
      <c r="T14" s="118" t="str">
        <f ca="1"/>
        <v/>
      </c>
      <c r="U14" s="118" t="str">
        <f ca="1"/>
        <v>P3</v>
      </c>
    </row>
    <row r="15" spans="1:21" x14ac:dyDescent="0.25">
      <c r="A15" s="118" t="str">
        <f ca="1"/>
        <v>P4</v>
      </c>
      <c r="B15" s="118" t="str">
        <f ca="1"/>
        <v>P4</v>
      </c>
      <c r="C15" s="118" t="str">
        <f ca="1"/>
        <v>t/a</v>
      </c>
      <c r="D15" s="118" t="str">
        <f ca="1"/>
        <v>P4_tons</v>
      </c>
      <c r="E15" s="118" t="e">
        <f ca="1"/>
        <v>#N/A</v>
      </c>
      <c r="F15" s="118" t="e">
        <f ca="1"/>
        <v>#N/A</v>
      </c>
      <c r="G15" s="118" t="e">
        <f ca="1"/>
        <v>#N/A</v>
      </c>
      <c r="H15" s="118" t="e">
        <f ca="1"/>
        <v>#N/A</v>
      </c>
      <c r="I15" s="118" t="e">
        <f ca="1"/>
        <v>#N/A</v>
      </c>
      <c r="J15" s="118" t="str">
        <f ca="1"/>
        <v>P4_pcs</v>
      </c>
      <c r="K15" s="118" t="e">
        <f ca="1"/>
        <v>#N/A</v>
      </c>
      <c r="L15" s="118" t="e">
        <f ca="1"/>
        <v>#N/A</v>
      </c>
      <c r="M15" s="118" t="e">
        <f ca="1"/>
        <v>#N/A</v>
      </c>
      <c r="N15" s="118" t="e">
        <f ca="1"/>
        <v>#N/A</v>
      </c>
      <c r="O15" s="118" t="e">
        <f ca="1"/>
        <v>#N/A</v>
      </c>
      <c r="P15" s="118" t="str">
        <f ca="1"/>
        <v/>
      </c>
      <c r="Q15" s="118" t="str">
        <f ca="1"/>
        <v/>
      </c>
      <c r="R15" s="118" t="str">
        <f ca="1"/>
        <v/>
      </c>
      <c r="S15" s="118" t="str">
        <f ca="1"/>
        <v/>
      </c>
      <c r="T15" s="118" t="str">
        <f ca="1"/>
        <v/>
      </c>
      <c r="U15" s="118" t="str">
        <f ca="1"/>
        <v>P4</v>
      </c>
    </row>
    <row r="16" spans="1:21" x14ac:dyDescent="0.25">
      <c r="A16" s="118" t="str">
        <f ca="1"/>
        <v>P5</v>
      </c>
      <c r="B16" s="118" t="str">
        <f ca="1"/>
        <v>P5</v>
      </c>
      <c r="C16" s="118" t="str">
        <f ca="1"/>
        <v>t/a</v>
      </c>
      <c r="D16" s="118" t="str">
        <f ca="1"/>
        <v>P5_tons</v>
      </c>
      <c r="E16" s="118" t="e">
        <f ca="1"/>
        <v>#N/A</v>
      </c>
      <c r="F16" s="118" t="e">
        <f ca="1"/>
        <v>#N/A</v>
      </c>
      <c r="G16" s="118" t="e">
        <f ca="1"/>
        <v>#N/A</v>
      </c>
      <c r="H16" s="118" t="e">
        <f ca="1"/>
        <v>#N/A</v>
      </c>
      <c r="I16" s="118" t="e">
        <f ca="1"/>
        <v>#N/A</v>
      </c>
      <c r="J16" s="118" t="str">
        <f ca="1"/>
        <v>P5_pcs</v>
      </c>
      <c r="K16" s="118" t="e">
        <f ca="1"/>
        <v>#N/A</v>
      </c>
      <c r="L16" s="118" t="e">
        <f ca="1"/>
        <v>#N/A</v>
      </c>
      <c r="M16" s="118" t="e">
        <f ca="1"/>
        <v>#N/A</v>
      </c>
      <c r="N16" s="118" t="e">
        <f ca="1"/>
        <v>#N/A</v>
      </c>
      <c r="O16" s="118" t="e">
        <f ca="1"/>
        <v>#N/A</v>
      </c>
      <c r="P16" s="118" t="str">
        <f ca="1"/>
        <v/>
      </c>
      <c r="Q16" s="118" t="str">
        <f ca="1"/>
        <v/>
      </c>
      <c r="R16" s="118" t="str">
        <f ca="1"/>
        <v/>
      </c>
      <c r="S16" s="118" t="str">
        <f ca="1"/>
        <v/>
      </c>
      <c r="T16" s="118" t="str">
        <f ca="1"/>
        <v/>
      </c>
      <c r="U16" s="118" t="str">
        <f ca="1"/>
        <v>P5</v>
      </c>
    </row>
    <row r="17" spans="1:21" x14ac:dyDescent="0.25">
      <c r="A17" s="118" t="str">
        <f ca="1"/>
        <v>P6</v>
      </c>
      <c r="B17" s="118" t="str">
        <f ca="1"/>
        <v>P6</v>
      </c>
      <c r="C17" s="118" t="str">
        <f ca="1"/>
        <v>t/a</v>
      </c>
      <c r="D17" s="118" t="str">
        <f ca="1"/>
        <v>P6_tons</v>
      </c>
      <c r="E17" s="118" t="e">
        <f ca="1"/>
        <v>#N/A</v>
      </c>
      <c r="F17" s="118" t="e">
        <f ca="1"/>
        <v>#N/A</v>
      </c>
      <c r="G17" s="118" t="e">
        <f ca="1"/>
        <v>#N/A</v>
      </c>
      <c r="H17" s="118" t="e">
        <f ca="1"/>
        <v>#N/A</v>
      </c>
      <c r="I17" s="118" t="e">
        <f ca="1"/>
        <v>#N/A</v>
      </c>
      <c r="J17" s="118" t="str">
        <f ca="1"/>
        <v>P6_pcs</v>
      </c>
      <c r="K17" s="118" t="e">
        <f ca="1"/>
        <v>#N/A</v>
      </c>
      <c r="L17" s="118" t="e">
        <f ca="1"/>
        <v>#N/A</v>
      </c>
      <c r="M17" s="118" t="e">
        <f ca="1"/>
        <v>#N/A</v>
      </c>
      <c r="N17" s="118" t="e">
        <f ca="1"/>
        <v>#N/A</v>
      </c>
      <c r="O17" s="118" t="e">
        <f ca="1"/>
        <v>#N/A</v>
      </c>
      <c r="P17" s="118" t="str">
        <f ca="1"/>
        <v/>
      </c>
      <c r="Q17" s="118" t="str">
        <f ca="1"/>
        <v/>
      </c>
      <c r="R17" s="118" t="str">
        <f ca="1"/>
        <v/>
      </c>
      <c r="S17" s="118" t="str">
        <f ca="1"/>
        <v/>
      </c>
      <c r="T17" s="118" t="str">
        <f ca="1"/>
        <v/>
      </c>
      <c r="U17" s="118" t="str">
        <f ca="1"/>
        <v>P6</v>
      </c>
    </row>
    <row r="18" spans="1:21" x14ac:dyDescent="0.25">
      <c r="A18" s="118" t="str">
        <f ca="1"/>
        <v>P7</v>
      </c>
      <c r="B18" s="118" t="str">
        <f ca="1"/>
        <v>P7</v>
      </c>
      <c r="C18" s="118" t="str">
        <f ca="1"/>
        <v>t/a</v>
      </c>
      <c r="D18" s="118" t="str">
        <f ca="1"/>
        <v>P7_tons</v>
      </c>
      <c r="E18" s="118" t="e">
        <f ca="1"/>
        <v>#N/A</v>
      </c>
      <c r="F18" s="118" t="e">
        <f ca="1"/>
        <v>#N/A</v>
      </c>
      <c r="G18" s="118" t="e">
        <f ca="1"/>
        <v>#N/A</v>
      </c>
      <c r="H18" s="118" t="e">
        <f ca="1"/>
        <v>#N/A</v>
      </c>
      <c r="I18" s="118" t="e">
        <f ca="1"/>
        <v>#N/A</v>
      </c>
      <c r="J18" s="118" t="str">
        <f ca="1"/>
        <v>P7_pcs</v>
      </c>
      <c r="K18" s="118" t="e">
        <f ca="1"/>
        <v>#N/A</v>
      </c>
      <c r="L18" s="118" t="e">
        <f ca="1"/>
        <v>#N/A</v>
      </c>
      <c r="M18" s="118" t="e">
        <f ca="1"/>
        <v>#N/A</v>
      </c>
      <c r="N18" s="118" t="e">
        <f ca="1"/>
        <v>#N/A</v>
      </c>
      <c r="O18" s="118" t="e">
        <f ca="1"/>
        <v>#N/A</v>
      </c>
      <c r="P18" s="118" t="str">
        <f ca="1"/>
        <v/>
      </c>
      <c r="Q18" s="118" t="str">
        <f ca="1"/>
        <v/>
      </c>
      <c r="R18" s="118" t="str">
        <f ca="1"/>
        <v/>
      </c>
      <c r="S18" s="118" t="str">
        <f ca="1"/>
        <v/>
      </c>
      <c r="T18" s="118" t="str">
        <f ca="1"/>
        <v/>
      </c>
      <c r="U18" s="118" t="str">
        <f ca="1"/>
        <v>P7</v>
      </c>
    </row>
    <row r="19" spans="1:21" x14ac:dyDescent="0.25">
      <c r="A19" s="118" t="str">
        <f ca="1"/>
        <v>P8</v>
      </c>
      <c r="B19" s="118" t="str">
        <f ca="1"/>
        <v>P8</v>
      </c>
      <c r="C19" s="118" t="str">
        <f ca="1"/>
        <v>t/a</v>
      </c>
      <c r="D19" s="118" t="str">
        <f ca="1"/>
        <v>P8_tons</v>
      </c>
      <c r="E19" s="118" t="e">
        <f ca="1"/>
        <v>#N/A</v>
      </c>
      <c r="F19" s="118" t="e">
        <f ca="1"/>
        <v>#N/A</v>
      </c>
      <c r="G19" s="118" t="e">
        <f ca="1"/>
        <v>#N/A</v>
      </c>
      <c r="H19" s="118" t="e">
        <f ca="1"/>
        <v>#N/A</v>
      </c>
      <c r="I19" s="118" t="e">
        <f ca="1"/>
        <v>#N/A</v>
      </c>
      <c r="J19" s="118" t="str">
        <f ca="1"/>
        <v>P8_pcs</v>
      </c>
      <c r="K19" s="118" t="e">
        <f ca="1"/>
        <v>#N/A</v>
      </c>
      <c r="L19" s="118" t="e">
        <f ca="1"/>
        <v>#N/A</v>
      </c>
      <c r="M19" s="118" t="e">
        <f ca="1"/>
        <v>#N/A</v>
      </c>
      <c r="N19" s="118" t="e">
        <f ca="1"/>
        <v>#N/A</v>
      </c>
      <c r="O19" s="118" t="e">
        <f ca="1"/>
        <v>#N/A</v>
      </c>
      <c r="P19" s="118" t="str">
        <f ca="1"/>
        <v/>
      </c>
      <c r="Q19" s="118" t="str">
        <f ca="1"/>
        <v/>
      </c>
      <c r="R19" s="118" t="str">
        <f ca="1"/>
        <v/>
      </c>
      <c r="S19" s="118" t="str">
        <f ca="1"/>
        <v/>
      </c>
      <c r="T19" s="118" t="str">
        <f ca="1"/>
        <v/>
      </c>
      <c r="U19" s="118" t="str">
        <f ca="1"/>
        <v>P8</v>
      </c>
    </row>
    <row r="20" spans="1:21" x14ac:dyDescent="0.25">
      <c r="A20" s="118" t="str">
        <f ca="1"/>
        <v>P9</v>
      </c>
      <c r="B20" s="118" t="str">
        <f ca="1"/>
        <v>P9</v>
      </c>
      <c r="C20" s="118" t="str">
        <f ca="1"/>
        <v>t/a</v>
      </c>
      <c r="D20" s="118" t="str">
        <f ca="1"/>
        <v>P9_tons</v>
      </c>
      <c r="E20" s="118" t="e">
        <f ca="1"/>
        <v>#N/A</v>
      </c>
      <c r="F20" s="118" t="e">
        <f ca="1"/>
        <v>#N/A</v>
      </c>
      <c r="G20" s="118" t="e">
        <f ca="1"/>
        <v>#N/A</v>
      </c>
      <c r="H20" s="118" t="e">
        <f ca="1"/>
        <v>#N/A</v>
      </c>
      <c r="I20" s="118" t="e">
        <f ca="1"/>
        <v>#N/A</v>
      </c>
      <c r="J20" s="118" t="str">
        <f ca="1"/>
        <v>P9_pcs</v>
      </c>
      <c r="K20" s="118" t="e">
        <f ca="1"/>
        <v>#N/A</v>
      </c>
      <c r="L20" s="118" t="e">
        <f ca="1"/>
        <v>#N/A</v>
      </c>
      <c r="M20" s="118" t="e">
        <f ca="1"/>
        <v>#N/A</v>
      </c>
      <c r="N20" s="118" t="e">
        <f ca="1"/>
        <v>#N/A</v>
      </c>
      <c r="O20" s="118" t="e">
        <f ca="1"/>
        <v>#N/A</v>
      </c>
      <c r="P20" s="118" t="str">
        <f ca="1"/>
        <v/>
      </c>
      <c r="Q20" s="118" t="str">
        <f ca="1"/>
        <v/>
      </c>
      <c r="R20" s="118" t="str">
        <f ca="1"/>
        <v/>
      </c>
      <c r="S20" s="118" t="str">
        <f ca="1"/>
        <v/>
      </c>
      <c r="T20" s="118" t="str">
        <f ca="1"/>
        <v/>
      </c>
      <c r="U20" s="118" t="str">
        <f ca="1"/>
        <v>P9</v>
      </c>
    </row>
    <row r="21" spans="1:21" x14ac:dyDescent="0.25">
      <c r="A21" s="118" t="str">
        <f ca="1"/>
        <v>P10</v>
      </c>
      <c r="B21" s="118" t="str">
        <f ca="1"/>
        <v>P10</v>
      </c>
      <c r="C21" s="118" t="str">
        <f ca="1"/>
        <v>t/a</v>
      </c>
      <c r="D21" s="118" t="str">
        <f ca="1"/>
        <v>P10_tons</v>
      </c>
      <c r="E21" s="118" t="e">
        <f ca="1"/>
        <v>#N/A</v>
      </c>
      <c r="F21" s="118" t="e">
        <f ca="1"/>
        <v>#N/A</v>
      </c>
      <c r="G21" s="118" t="e">
        <f ca="1"/>
        <v>#N/A</v>
      </c>
      <c r="H21" s="118" t="e">
        <f ca="1"/>
        <v>#N/A</v>
      </c>
      <c r="I21" s="118" t="e">
        <f ca="1"/>
        <v>#N/A</v>
      </c>
      <c r="J21" s="118" t="str">
        <f ca="1"/>
        <v>P10_pcs</v>
      </c>
      <c r="K21" s="118" t="e">
        <f ca="1"/>
        <v>#N/A</v>
      </c>
      <c r="L21" s="118" t="e">
        <f ca="1"/>
        <v>#N/A</v>
      </c>
      <c r="M21" s="118" t="e">
        <f ca="1"/>
        <v>#N/A</v>
      </c>
      <c r="N21" s="118" t="e">
        <f ca="1"/>
        <v>#N/A</v>
      </c>
      <c r="O21" s="118" t="e">
        <f ca="1"/>
        <v>#N/A</v>
      </c>
      <c r="P21" s="118" t="str">
        <f ca="1"/>
        <v/>
      </c>
      <c r="Q21" s="118" t="str">
        <f ca="1"/>
        <v/>
      </c>
      <c r="R21" s="118" t="str">
        <f ca="1"/>
        <v/>
      </c>
      <c r="S21" s="118" t="str">
        <f ca="1"/>
        <v/>
      </c>
      <c r="T21" s="118" t="str">
        <f ca="1"/>
        <v/>
      </c>
      <c r="U21" s="118" t="str">
        <f ca="1"/>
        <v>P10</v>
      </c>
    </row>
    <row r="22" spans="1:21" x14ac:dyDescent="0.25">
      <c r="A22" s="118" t="str">
        <f ca="1"/>
        <v>P11</v>
      </c>
      <c r="B22" s="118" t="str">
        <f ca="1"/>
        <v>P11</v>
      </c>
      <c r="C22" s="118" t="str">
        <f ca="1"/>
        <v>t/a</v>
      </c>
      <c r="D22" s="118" t="str">
        <f ca="1"/>
        <v>P11_tons</v>
      </c>
      <c r="E22" s="118" t="e">
        <f ca="1"/>
        <v>#N/A</v>
      </c>
      <c r="F22" s="118" t="e">
        <f ca="1"/>
        <v>#N/A</v>
      </c>
      <c r="G22" s="118" t="e">
        <f ca="1"/>
        <v>#N/A</v>
      </c>
      <c r="H22" s="118" t="e">
        <f ca="1"/>
        <v>#N/A</v>
      </c>
      <c r="I22" s="118" t="e">
        <f ca="1"/>
        <v>#N/A</v>
      </c>
      <c r="J22" s="118" t="str">
        <f ca="1"/>
        <v>P11_pcs</v>
      </c>
      <c r="K22" s="118" t="e">
        <f ca="1"/>
        <v>#N/A</v>
      </c>
      <c r="L22" s="118" t="e">
        <f ca="1"/>
        <v>#N/A</v>
      </c>
      <c r="M22" s="118" t="e">
        <f ca="1"/>
        <v>#N/A</v>
      </c>
      <c r="N22" s="118" t="e">
        <f ca="1"/>
        <v>#N/A</v>
      </c>
      <c r="O22" s="118" t="e">
        <f ca="1"/>
        <v>#N/A</v>
      </c>
      <c r="P22" s="118" t="str">
        <f ca="1"/>
        <v/>
      </c>
      <c r="Q22" s="118" t="str">
        <f ca="1"/>
        <v/>
      </c>
      <c r="R22" s="118" t="str">
        <f ca="1"/>
        <v/>
      </c>
      <c r="S22" s="118" t="str">
        <f ca="1"/>
        <v/>
      </c>
      <c r="T22" s="118" t="str">
        <f ca="1"/>
        <v/>
      </c>
      <c r="U22" s="118" t="str">
        <f ca="1"/>
        <v>P11</v>
      </c>
    </row>
    <row r="23" spans="1:21" x14ac:dyDescent="0.25">
      <c r="A23" s="118" t="str">
        <f ca="1"/>
        <v>P12</v>
      </c>
      <c r="B23" s="118" t="str">
        <f ca="1"/>
        <v>P12</v>
      </c>
      <c r="C23" s="118" t="str">
        <f ca="1"/>
        <v>t/a</v>
      </c>
      <c r="D23" s="118" t="str">
        <f ca="1"/>
        <v>P12_tons</v>
      </c>
      <c r="E23" s="118" t="e">
        <f ca="1"/>
        <v>#N/A</v>
      </c>
      <c r="F23" s="118" t="e">
        <f ca="1"/>
        <v>#N/A</v>
      </c>
      <c r="G23" s="118" t="e">
        <f ca="1"/>
        <v>#N/A</v>
      </c>
      <c r="H23" s="118" t="e">
        <f ca="1"/>
        <v>#N/A</v>
      </c>
      <c r="I23" s="118" t="e">
        <f ca="1"/>
        <v>#N/A</v>
      </c>
      <c r="J23" s="118" t="str">
        <f ca="1"/>
        <v>P12_pcs</v>
      </c>
      <c r="K23" s="118" t="e">
        <f ca="1"/>
        <v>#N/A</v>
      </c>
      <c r="L23" s="118" t="e">
        <f ca="1"/>
        <v>#N/A</v>
      </c>
      <c r="M23" s="118" t="e">
        <f ca="1"/>
        <v>#N/A</v>
      </c>
      <c r="N23" s="118" t="e">
        <f ca="1"/>
        <v>#N/A</v>
      </c>
      <c r="O23" s="118" t="e">
        <f ca="1"/>
        <v>#N/A</v>
      </c>
      <c r="P23" s="118" t="str">
        <f ca="1"/>
        <v/>
      </c>
      <c r="Q23" s="118" t="str">
        <f ca="1"/>
        <v/>
      </c>
      <c r="R23" s="118" t="str">
        <f ca="1"/>
        <v/>
      </c>
      <c r="S23" s="118" t="str">
        <f ca="1"/>
        <v/>
      </c>
      <c r="T23" s="118" t="str">
        <f ca="1"/>
        <v/>
      </c>
      <c r="U23" s="118" t="str">
        <f ca="1"/>
        <v>P12</v>
      </c>
    </row>
    <row r="24" spans="1:21" x14ac:dyDescent="0.25">
      <c r="A24" s="118" t="str">
        <f ca="1"/>
        <v>P13</v>
      </c>
      <c r="B24" s="118" t="str">
        <f ca="1"/>
        <v>P13</v>
      </c>
      <c r="C24" s="118" t="str">
        <f ca="1"/>
        <v>t/a</v>
      </c>
      <c r="D24" s="118" t="str">
        <f ca="1"/>
        <v>P13_tons</v>
      </c>
      <c r="E24" s="118" t="e">
        <f ca="1"/>
        <v>#N/A</v>
      </c>
      <c r="F24" s="118" t="e">
        <f ca="1"/>
        <v>#N/A</v>
      </c>
      <c r="G24" s="118" t="e">
        <f ca="1"/>
        <v>#N/A</v>
      </c>
      <c r="H24" s="118" t="e">
        <f ca="1"/>
        <v>#N/A</v>
      </c>
      <c r="I24" s="118" t="e">
        <f ca="1"/>
        <v>#N/A</v>
      </c>
      <c r="J24" s="118" t="str">
        <f ca="1"/>
        <v>P13_pcs</v>
      </c>
      <c r="K24" s="118" t="e">
        <f ca="1"/>
        <v>#N/A</v>
      </c>
      <c r="L24" s="118" t="e">
        <f ca="1"/>
        <v>#N/A</v>
      </c>
      <c r="M24" s="118" t="e">
        <f ca="1"/>
        <v>#N/A</v>
      </c>
      <c r="N24" s="118" t="e">
        <f ca="1"/>
        <v>#N/A</v>
      </c>
      <c r="O24" s="118" t="e">
        <f ca="1"/>
        <v>#N/A</v>
      </c>
      <c r="P24" s="118" t="str">
        <f ca="1"/>
        <v/>
      </c>
      <c r="Q24" s="118" t="str">
        <f ca="1"/>
        <v/>
      </c>
      <c r="R24" s="118" t="str">
        <f ca="1"/>
        <v/>
      </c>
      <c r="S24" s="118" t="str">
        <f ca="1"/>
        <v/>
      </c>
      <c r="T24" s="118" t="str">
        <f ca="1"/>
        <v/>
      </c>
      <c r="U24" s="118" t="str">
        <f ca="1"/>
        <v>P13</v>
      </c>
    </row>
    <row r="25" spans="1:21" x14ac:dyDescent="0.25">
      <c r="A25" s="118" t="str">
        <f ca="1"/>
        <v>P14</v>
      </c>
      <c r="B25" s="118" t="str">
        <f ca="1"/>
        <v>P14</v>
      </c>
      <c r="C25" s="118" t="str">
        <f ca="1"/>
        <v>t/a</v>
      </c>
      <c r="D25" s="118" t="str">
        <f ca="1"/>
        <v>P14_tons</v>
      </c>
      <c r="E25" s="118" t="e">
        <f ca="1"/>
        <v>#N/A</v>
      </c>
      <c r="F25" s="118" t="e">
        <f ca="1"/>
        <v>#N/A</v>
      </c>
      <c r="G25" s="118" t="e">
        <f ca="1"/>
        <v>#N/A</v>
      </c>
      <c r="H25" s="118" t="e">
        <f ca="1"/>
        <v>#N/A</v>
      </c>
      <c r="I25" s="118" t="e">
        <f ca="1"/>
        <v>#N/A</v>
      </c>
      <c r="J25" s="118" t="str">
        <f ca="1"/>
        <v>P14_pcs</v>
      </c>
      <c r="K25" s="118" t="e">
        <f ca="1"/>
        <v>#N/A</v>
      </c>
      <c r="L25" s="118" t="e">
        <f ca="1"/>
        <v>#N/A</v>
      </c>
      <c r="M25" s="118" t="e">
        <f ca="1"/>
        <v>#N/A</v>
      </c>
      <c r="N25" s="118" t="e">
        <f ca="1"/>
        <v>#N/A</v>
      </c>
      <c r="O25" s="118" t="e">
        <f ca="1"/>
        <v>#N/A</v>
      </c>
      <c r="P25" s="118" t="str">
        <f ca="1"/>
        <v/>
      </c>
      <c r="Q25" s="118" t="str">
        <f ca="1"/>
        <v/>
      </c>
      <c r="R25" s="118" t="str">
        <f ca="1"/>
        <v/>
      </c>
      <c r="S25" s="118" t="str">
        <f ca="1"/>
        <v/>
      </c>
      <c r="T25" s="118" t="str">
        <f ca="1"/>
        <v/>
      </c>
      <c r="U25" s="118" t="str">
        <f ca="1"/>
        <v>P14</v>
      </c>
    </row>
    <row r="26" spans="1:21" x14ac:dyDescent="0.25">
      <c r="A26" s="118" t="str">
        <f ca="1"/>
        <v>P15</v>
      </c>
      <c r="B26" s="118" t="str">
        <f ca="1"/>
        <v>P15</v>
      </c>
      <c r="C26" s="118" t="str">
        <f ca="1"/>
        <v>t/a</v>
      </c>
      <c r="D26" s="118" t="str">
        <f ca="1"/>
        <v>P15_tons</v>
      </c>
      <c r="E26" s="118" t="e">
        <f ca="1"/>
        <v>#N/A</v>
      </c>
      <c r="F26" s="118" t="e">
        <f ca="1"/>
        <v>#N/A</v>
      </c>
      <c r="G26" s="118" t="e">
        <f ca="1"/>
        <v>#N/A</v>
      </c>
      <c r="H26" s="118" t="e">
        <f ca="1"/>
        <v>#N/A</v>
      </c>
      <c r="I26" s="118" t="e">
        <f ca="1"/>
        <v>#N/A</v>
      </c>
      <c r="J26" s="118" t="str">
        <f ca="1"/>
        <v>P15_pcs</v>
      </c>
      <c r="K26" s="118" t="e">
        <f ca="1"/>
        <v>#N/A</v>
      </c>
      <c r="L26" s="118" t="e">
        <f ca="1"/>
        <v>#N/A</v>
      </c>
      <c r="M26" s="118" t="e">
        <f ca="1"/>
        <v>#N/A</v>
      </c>
      <c r="N26" s="118" t="e">
        <f ca="1"/>
        <v>#N/A</v>
      </c>
      <c r="O26" s="118" t="e">
        <f ca="1"/>
        <v>#N/A</v>
      </c>
      <c r="P26" s="118" t="str">
        <f ca="1"/>
        <v/>
      </c>
      <c r="Q26" s="118" t="str">
        <f ca="1"/>
        <v/>
      </c>
      <c r="R26" s="118" t="str">
        <f ca="1"/>
        <v/>
      </c>
      <c r="S26" s="118" t="str">
        <f ca="1"/>
        <v/>
      </c>
      <c r="T26" s="118" t="str">
        <f ca="1"/>
        <v/>
      </c>
      <c r="U26" s="118" t="str">
        <f ca="1"/>
        <v>P15</v>
      </c>
    </row>
    <row r="28" spans="1:21" x14ac:dyDescent="0.25">
      <c r="A28" s="119" t="s">
        <v>195</v>
      </c>
      <c r="B28" s="121" t="s">
        <v>197</v>
      </c>
    </row>
    <row r="29" spans="1:21" x14ac:dyDescent="0.25">
      <c r="A29" s="118" t="s">
        <v>204</v>
      </c>
      <c r="B29" s="122">
        <f>IF(OR(
  ISBLANK(UNTERNEHMUNG!$C$3),
  ISBLANK(UNTERNEHMUNG!$C$5),
  ISBLANK(UNTERNEHMUNG!$C$7),
  ISBLANK(UNTERNEHMUNG!$C$9),
  ISBLANK(UNTERNEHMUNG!$K$3),
  ISBLANK(UNTERNEHMUNG!$K$5),
  ISBLANK(UNTERNEHMUNG!$K$7),
  ISBLANK(UNTERNEHMUNG!$K$9)
  ),0,1)</f>
        <v>0</v>
      </c>
    </row>
    <row r="31" spans="1:21" x14ac:dyDescent="0.25">
      <c r="A31" s="119" t="s">
        <v>1</v>
      </c>
      <c r="B31" s="121" t="s">
        <v>197</v>
      </c>
      <c r="C31" s="121" t="s">
        <v>276</v>
      </c>
      <c r="D31" s="118" t="s">
        <v>277</v>
      </c>
    </row>
    <row r="32" spans="1:21" x14ac:dyDescent="0.25">
      <c r="A32" s="118" t="s">
        <v>208</v>
      </c>
      <c r="B32" s="122">
        <f>IF(OR(helper_UNTERNEHMUNG!$C$32=1,AND($C$32=2,$D$32)),1,0)</f>
        <v>0</v>
      </c>
      <c r="C32" s="118">
        <v>0</v>
      </c>
      <c r="D32" s="118" t="b">
        <f>NOT(ISBLANK(UNTERNEHMUNG!$N$16))</f>
        <v>0</v>
      </c>
    </row>
    <row r="33" spans="1:7" x14ac:dyDescent="0.25">
      <c r="A33" s="118" t="s">
        <v>209</v>
      </c>
      <c r="B33" s="122">
        <f>IF(OR(helper_UNTERNEHMUNG!$C$33=1,AND($C$33=2,$D$33)),1,0)</f>
        <v>0</v>
      </c>
      <c r="C33" s="118">
        <v>0</v>
      </c>
      <c r="D33" s="118" t="b">
        <f>NOT(ISBLANK(UNTERNEHMUNG!$N$18))</f>
        <v>0</v>
      </c>
    </row>
    <row r="34" spans="1:7" x14ac:dyDescent="0.25">
      <c r="A34" s="118" t="s">
        <v>210</v>
      </c>
      <c r="B34" s="122">
        <f>IF(helper_UNTERNEHMUNG!$C$34&gt;0,1,2)</f>
        <v>2</v>
      </c>
      <c r="C34" s="118">
        <v>0</v>
      </c>
    </row>
    <row r="35" spans="1:7" x14ac:dyDescent="0.25">
      <c r="A35" s="118" t="s">
        <v>292</v>
      </c>
      <c r="B35" s="122" cm="1">
        <f t="array" ref="B35">_xlfn.IFS(helper_UNTERNEHMUNG!$C$35=0,2,AND(helper_UNTERNEHMUNG!$C$35=2,$D$35),0,OR(helper_UNTERNEHMUNG!$C$35=1,helper_UNTERNEHMUNG!$C$35=2),1)</f>
        <v>2</v>
      </c>
      <c r="C35" s="118">
        <v>0</v>
      </c>
      <c r="D35" s="118" t="b">
        <v>0</v>
      </c>
    </row>
    <row r="36" spans="1:7" x14ac:dyDescent="0.25">
      <c r="A36" s="118" t="s">
        <v>291</v>
      </c>
      <c r="B36" s="122">
        <f>IF(ISBLANK(UNTERNEHMUNG!$C$22),2,1)</f>
        <v>2</v>
      </c>
    </row>
    <row r="38" spans="1:7" x14ac:dyDescent="0.25">
      <c r="A38" s="119" t="s">
        <v>115</v>
      </c>
      <c r="B38" s="121"/>
    </row>
    <row r="39" spans="1:7" x14ac:dyDescent="0.25">
      <c r="A39" s="118" t="s">
        <v>14</v>
      </c>
      <c r="B39" s="118">
        <f>IF(OR(ISBLANK(UNTERNEHMUNG!$D$26),ISBLANK(UNTERNEHMUNG!$L$26),ISBLANK(UNTERNEHMUNG!$P$26),NOT(ISNUMBER(UNTERNEHMUNG!$P$26)),NOT(ISNUMBER(UNTERNEHMUNG!$L$26))),0,1)</f>
        <v>0</v>
      </c>
      <c r="C39" s="118" t="s">
        <v>197</v>
      </c>
    </row>
    <row r="40" spans="1:7" ht="15" customHeight="1" x14ac:dyDescent="0.25">
      <c r="A40" s="118" t="s">
        <v>15</v>
      </c>
      <c r="B40" s="118">
        <f>IF(ISBLANK(UNTERNEHMUNG!$P27),2,IF(OR(ISBLANK(UNTERNEHMUNG!$D27),NOT(ISNUMBER(UNTERNEHMUNG!$P27)),NOT(ISNUMBER(UNTERNEHMUNG!$L27))),0,1))</f>
        <v>2</v>
      </c>
      <c r="C40" s="326" t="s">
        <v>249</v>
      </c>
      <c r="D40" s="123"/>
      <c r="E40" s="123"/>
      <c r="F40" s="123"/>
      <c r="G40" s="123"/>
    </row>
    <row r="41" spans="1:7" x14ac:dyDescent="0.25">
      <c r="A41" s="118" t="s">
        <v>16</v>
      </c>
      <c r="B41" s="118">
        <f>IF(ISBLANK(UNTERNEHMUNG!$P28),2,IF(OR(ISBLANK(UNTERNEHMUNG!$D28),NOT(ISNUMBER(UNTERNEHMUNG!$P28)),NOT(ISNUMBER(UNTERNEHMUNG!$L28))),0,1))</f>
        <v>2</v>
      </c>
      <c r="C41" s="326"/>
      <c r="D41" s="123"/>
      <c r="E41" s="123"/>
      <c r="F41" s="123"/>
      <c r="G41" s="123"/>
    </row>
    <row r="42" spans="1:7" x14ac:dyDescent="0.25">
      <c r="A42" s="118" t="s">
        <v>17</v>
      </c>
      <c r="B42" s="118">
        <f>IF(ISBLANK(UNTERNEHMUNG!$P29),2,IF(OR(ISBLANK(UNTERNEHMUNG!$D29),NOT(ISNUMBER(UNTERNEHMUNG!$P29)),NOT(ISNUMBER(UNTERNEHMUNG!$L29))),0,1))</f>
        <v>2</v>
      </c>
      <c r="C42" s="326"/>
      <c r="D42" s="123"/>
      <c r="E42" s="123"/>
      <c r="F42" s="123"/>
      <c r="G42" s="123"/>
    </row>
    <row r="43" spans="1:7" x14ac:dyDescent="0.25">
      <c r="A43" s="118" t="s">
        <v>63</v>
      </c>
      <c r="B43" s="118">
        <f>IF(ISBLANK(UNTERNEHMUNG!$P30),2,IF(OR(ISBLANK(UNTERNEHMUNG!$D30),NOT(ISNUMBER(UNTERNEHMUNG!$P30)),NOT(ISNUMBER(UNTERNEHMUNG!$L30))),0,1))</f>
        <v>2</v>
      </c>
      <c r="C43" s="326"/>
      <c r="D43" s="123"/>
      <c r="E43" s="123"/>
      <c r="F43" s="123"/>
      <c r="G43" s="123"/>
    </row>
    <row r="44" spans="1:7" x14ac:dyDescent="0.25">
      <c r="A44" s="118" t="s">
        <v>65</v>
      </c>
      <c r="B44" s="118">
        <f>IF(ISBLANK(UNTERNEHMUNG!$P31),2,IF(OR(ISBLANK(UNTERNEHMUNG!$D31),NOT(ISNUMBER(UNTERNEHMUNG!$P31)),NOT(ISNUMBER(UNTERNEHMUNG!$L31))),0,1))</f>
        <v>2</v>
      </c>
      <c r="C44" s="326"/>
      <c r="D44" s="123"/>
      <c r="E44" s="123"/>
      <c r="F44" s="123"/>
      <c r="G44" s="123"/>
    </row>
    <row r="45" spans="1:7" x14ac:dyDescent="0.25">
      <c r="A45" s="118" t="s">
        <v>66</v>
      </c>
      <c r="B45" s="118">
        <f>IF(ISBLANK(UNTERNEHMUNG!$P32),2,IF(OR(ISBLANK(UNTERNEHMUNG!$D32),NOT(ISNUMBER(UNTERNEHMUNG!$P32)),NOT(ISNUMBER(UNTERNEHMUNG!$L32))),0,1))</f>
        <v>2</v>
      </c>
      <c r="C45" s="326"/>
      <c r="D45" s="123"/>
      <c r="E45" s="123"/>
      <c r="F45" s="123"/>
      <c r="G45" s="123"/>
    </row>
    <row r="46" spans="1:7" x14ac:dyDescent="0.25">
      <c r="A46" s="118" t="s">
        <v>67</v>
      </c>
      <c r="B46" s="118">
        <f>IF(ISBLANK(UNTERNEHMUNG!$P33),2,IF(OR(ISBLANK(UNTERNEHMUNG!$D33),NOT(ISNUMBER(UNTERNEHMUNG!$P33)),NOT(ISNUMBER(UNTERNEHMUNG!$L33))),0,1))</f>
        <v>2</v>
      </c>
      <c r="C46" s="326"/>
      <c r="D46" s="123"/>
      <c r="E46" s="123"/>
      <c r="F46" s="123"/>
      <c r="G46" s="123"/>
    </row>
    <row r="47" spans="1:7" x14ac:dyDescent="0.25">
      <c r="A47" s="118" t="s">
        <v>68</v>
      </c>
      <c r="B47" s="118">
        <f>IF(ISBLANK(UNTERNEHMUNG!$P34),2,IF(OR(ISBLANK(UNTERNEHMUNG!$D34),NOT(ISNUMBER(UNTERNEHMUNG!$P34)),NOT(ISNUMBER(UNTERNEHMUNG!$L34))),0,1))</f>
        <v>2</v>
      </c>
      <c r="C47" s="326"/>
      <c r="D47" s="123"/>
      <c r="E47" s="123"/>
      <c r="F47" s="123"/>
      <c r="G47" s="123"/>
    </row>
    <row r="48" spans="1:7" x14ac:dyDescent="0.25">
      <c r="A48" s="118" t="s">
        <v>69</v>
      </c>
      <c r="B48" s="118">
        <f>IF(ISBLANK(UNTERNEHMUNG!$P35),2,IF(OR(ISBLANK(UNTERNEHMUNG!$D35),NOT(ISNUMBER(UNTERNEHMUNG!$P35)),NOT(ISNUMBER(UNTERNEHMUNG!$L35))),0,1))</f>
        <v>2</v>
      </c>
      <c r="C48" s="326"/>
      <c r="D48" s="123"/>
      <c r="E48" s="123"/>
      <c r="F48" s="123"/>
      <c r="G48" s="123"/>
    </row>
    <row r="49" spans="1:7" x14ac:dyDescent="0.25">
      <c r="A49" s="118" t="s">
        <v>70</v>
      </c>
      <c r="B49" s="118">
        <f>IF(ISBLANK(UNTERNEHMUNG!$P36),2,IF(OR(ISBLANK(UNTERNEHMUNG!$D36),NOT(ISNUMBER(UNTERNEHMUNG!$P36)),NOT(ISNUMBER(UNTERNEHMUNG!$L36))),0,1))</f>
        <v>2</v>
      </c>
      <c r="C49" s="326"/>
      <c r="D49" s="123"/>
      <c r="E49" s="123"/>
      <c r="F49" s="123"/>
      <c r="G49" s="123"/>
    </row>
    <row r="50" spans="1:7" x14ac:dyDescent="0.25">
      <c r="A50" s="118" t="s">
        <v>71</v>
      </c>
      <c r="B50" s="118">
        <f>IF(ISBLANK(UNTERNEHMUNG!$P37),2,IF(OR(ISBLANK(UNTERNEHMUNG!$D37),NOT(ISNUMBER(UNTERNEHMUNG!$P37)),NOT(ISNUMBER(UNTERNEHMUNG!$L37))),0,1))</f>
        <v>2</v>
      </c>
      <c r="C50" s="326"/>
      <c r="D50" s="123"/>
      <c r="E50" s="123"/>
      <c r="F50" s="123"/>
      <c r="G50" s="123"/>
    </row>
    <row r="51" spans="1:7" x14ac:dyDescent="0.25">
      <c r="A51" s="118" t="s">
        <v>72</v>
      </c>
      <c r="B51" s="118">
        <f>IF(ISBLANK(UNTERNEHMUNG!$P38),2,IF(OR(ISBLANK(UNTERNEHMUNG!$D38),NOT(ISNUMBER(UNTERNEHMUNG!$P38)),NOT(ISNUMBER(UNTERNEHMUNG!$L38))),0,1))</f>
        <v>2</v>
      </c>
      <c r="C51" s="326"/>
      <c r="D51" s="123"/>
      <c r="E51" s="123"/>
      <c r="F51" s="123"/>
      <c r="G51" s="123"/>
    </row>
    <row r="52" spans="1:7" x14ac:dyDescent="0.25">
      <c r="A52" s="118" t="s">
        <v>171</v>
      </c>
      <c r="B52" s="118">
        <f>IF(ISBLANK(UNTERNEHMUNG!$P39),2,IF(OR(ISBLANK(UNTERNEHMUNG!$D39),NOT(ISNUMBER(UNTERNEHMUNG!$P39)),NOT(ISNUMBER(UNTERNEHMUNG!$L39))),0,1))</f>
        <v>2</v>
      </c>
      <c r="C52" s="326"/>
      <c r="D52" s="123"/>
      <c r="E52" s="123"/>
      <c r="F52" s="123"/>
      <c r="G52" s="123"/>
    </row>
    <row r="53" spans="1:7" x14ac:dyDescent="0.25">
      <c r="A53" s="118" t="s">
        <v>73</v>
      </c>
      <c r="B53" s="118">
        <f>IF(ISBLANK(UNTERNEHMUNG!$P40),2,IF(OR(ISBLANK(UNTERNEHMUNG!$D40),NOT(ISNUMBER(UNTERNEHMUNG!$P40)),NOT(ISNUMBER(UNTERNEHMUNG!$L40))),0,1))</f>
        <v>2</v>
      </c>
      <c r="C53" s="326"/>
      <c r="D53" s="123"/>
      <c r="E53" s="123"/>
      <c r="F53" s="123"/>
      <c r="G53" s="123"/>
    </row>
    <row r="55" spans="1:7" x14ac:dyDescent="0.25">
      <c r="A55" s="121" t="s">
        <v>170</v>
      </c>
      <c r="B55" s="118" t="s">
        <v>250</v>
      </c>
    </row>
    <row r="56" spans="1:7" x14ac:dyDescent="0.25">
      <c r="A56" s="118" t="s">
        <v>14</v>
      </c>
      <c r="B56" s="118">
        <f>IF(AND(ISBLANK(UNTERNEHMUNG!$D44), ISBLANK(UNTERNEHMUNG!$F44), ISBLANK(UNTERNEHMUNG!$I44), ISBLANK(UNTERNEHMUNG!$M44), UNTERNEHMUNG!$P44=""), 2,
IF(AND(NOT(ISBLANK(UNTERNEHMUNG!$D44)), ISNUMBER(UNTERNEHMUNG!$D44), NOT(ISBLANK(UNTERNEHMUNG!$F44)), ISNUMBER(UNTERNEHMUNG!$F44), NOT(ISBLANK(UNTERNEHMUNG!$I44)), ISNUMBER(UNTERNEHMUNG!$I44), NOT(ISBLANK(UNTERNEHMUNG!$M44)), ISNUMBER(UNTERNEHMUNG!$M44)), 1,
0))</f>
        <v>2</v>
      </c>
    </row>
    <row r="57" spans="1:7" x14ac:dyDescent="0.25">
      <c r="A57" s="118" t="s">
        <v>15</v>
      </c>
      <c r="B57" s="118">
        <f>IF(AND(ISBLANK(UNTERNEHMUNG!$D45), ISBLANK(UNTERNEHMUNG!$F45), ISBLANK(UNTERNEHMUNG!$I45), ISBLANK(UNTERNEHMUNG!$M45), UNTERNEHMUNG!$P45=""), 2,
IF(AND(NOT(ISBLANK(UNTERNEHMUNG!$D45)), ISNUMBER(UNTERNEHMUNG!$D45), NOT(ISBLANK(UNTERNEHMUNG!$F45)), ISNUMBER(UNTERNEHMUNG!$F45), NOT(ISBLANK(UNTERNEHMUNG!$I45)), ISNUMBER(UNTERNEHMUNG!$I45), NOT(ISBLANK(UNTERNEHMUNG!$M45)), ISNUMBER(UNTERNEHMUNG!$M45)), 1,
0))</f>
        <v>2</v>
      </c>
    </row>
    <row r="58" spans="1:7" x14ac:dyDescent="0.25">
      <c r="A58" s="118" t="s">
        <v>16</v>
      </c>
      <c r="B58" s="118">
        <f>IF(AND(ISBLANK(UNTERNEHMUNG!$D46), ISBLANK(UNTERNEHMUNG!$F46), ISBLANK(UNTERNEHMUNG!$I46), ISBLANK(UNTERNEHMUNG!$M46), UNTERNEHMUNG!$P46=""), 2,
IF(AND(NOT(ISBLANK(UNTERNEHMUNG!$D46)), ISNUMBER(UNTERNEHMUNG!$D46), NOT(ISBLANK(UNTERNEHMUNG!$F46)), ISNUMBER(UNTERNEHMUNG!$F46), NOT(ISBLANK(UNTERNEHMUNG!$I46)), ISNUMBER(UNTERNEHMUNG!$I46), NOT(ISBLANK(UNTERNEHMUNG!$M46)), ISNUMBER(UNTERNEHMUNG!$M46)), 1,
0))</f>
        <v>2</v>
      </c>
    </row>
    <row r="59" spans="1:7" x14ac:dyDescent="0.25">
      <c r="A59" s="118" t="s">
        <v>17</v>
      </c>
      <c r="B59" s="118">
        <f>IF(AND(ISBLANK(UNTERNEHMUNG!$D47), ISBLANK(UNTERNEHMUNG!$F47), ISBLANK(UNTERNEHMUNG!$I47), ISBLANK(UNTERNEHMUNG!$M47), UNTERNEHMUNG!$P47=""), 2,
IF(AND(NOT(ISBLANK(UNTERNEHMUNG!$D47)), ISNUMBER(UNTERNEHMUNG!$D47), NOT(ISBLANK(UNTERNEHMUNG!$F47)), ISNUMBER(UNTERNEHMUNG!$F47), NOT(ISBLANK(UNTERNEHMUNG!$I47)), ISNUMBER(UNTERNEHMUNG!$I47), NOT(ISBLANK(UNTERNEHMUNG!$M47)), ISNUMBER(UNTERNEHMUNG!$M47)), 1,
0))</f>
        <v>2</v>
      </c>
    </row>
    <row r="60" spans="1:7" x14ac:dyDescent="0.25">
      <c r="A60" s="118" t="s">
        <v>63</v>
      </c>
      <c r="B60" s="118">
        <f>IF(AND(ISBLANK(UNTERNEHMUNG!$D48), ISBLANK(UNTERNEHMUNG!$F48), ISBLANK(UNTERNEHMUNG!$I48), ISBLANK(UNTERNEHMUNG!$M48), UNTERNEHMUNG!$P48=""), 2,
IF(AND(NOT(ISBLANK(UNTERNEHMUNG!$D48)), ISNUMBER(UNTERNEHMUNG!$D48), NOT(ISBLANK(UNTERNEHMUNG!$F48)), ISNUMBER(UNTERNEHMUNG!$F48), NOT(ISBLANK(UNTERNEHMUNG!$I48)), ISNUMBER(UNTERNEHMUNG!$I48), NOT(ISBLANK(UNTERNEHMUNG!$M48)), ISNUMBER(UNTERNEHMUNG!$M48)), 1,
0))</f>
        <v>2</v>
      </c>
    </row>
    <row r="61" spans="1:7" x14ac:dyDescent="0.25">
      <c r="A61" s="118" t="s">
        <v>65</v>
      </c>
      <c r="B61" s="118">
        <f>IF(AND(ISBLANK(UNTERNEHMUNG!$D49), ISBLANK(UNTERNEHMUNG!$F49), ISBLANK(UNTERNEHMUNG!$I49), ISBLANK(UNTERNEHMUNG!$M49), UNTERNEHMUNG!$P49=""), 2,
IF(AND(NOT(ISBLANK(UNTERNEHMUNG!$D49)), ISNUMBER(UNTERNEHMUNG!$D49), NOT(ISBLANK(UNTERNEHMUNG!$F49)), ISNUMBER(UNTERNEHMUNG!$F49), NOT(ISBLANK(UNTERNEHMUNG!$I49)), ISNUMBER(UNTERNEHMUNG!$I49), NOT(ISBLANK(UNTERNEHMUNG!$M49)), ISNUMBER(UNTERNEHMUNG!$M49)), 1,
0))</f>
        <v>2</v>
      </c>
    </row>
    <row r="62" spans="1:7" x14ac:dyDescent="0.25">
      <c r="A62" s="118" t="s">
        <v>66</v>
      </c>
      <c r="B62" s="118">
        <f>IF(AND(ISBLANK(UNTERNEHMUNG!$D50), ISBLANK(UNTERNEHMUNG!$F50), ISBLANK(UNTERNEHMUNG!$I50), ISBLANK(UNTERNEHMUNG!$M50), UNTERNEHMUNG!$P50=""), 2,
IF(AND(NOT(ISBLANK(UNTERNEHMUNG!$D50)), ISNUMBER(UNTERNEHMUNG!$D50), NOT(ISBLANK(UNTERNEHMUNG!$F50)), ISNUMBER(UNTERNEHMUNG!$F50), NOT(ISBLANK(UNTERNEHMUNG!$I50)), ISNUMBER(UNTERNEHMUNG!$I50), NOT(ISBLANK(UNTERNEHMUNG!$M50)), ISNUMBER(UNTERNEHMUNG!$M50)), 1,
0))</f>
        <v>2</v>
      </c>
    </row>
    <row r="63" spans="1:7" x14ac:dyDescent="0.25">
      <c r="A63" s="118" t="s">
        <v>67</v>
      </c>
      <c r="B63" s="118">
        <f>IF(AND(ISBLANK(UNTERNEHMUNG!$D51), ISBLANK(UNTERNEHMUNG!$F51), ISBLANK(UNTERNEHMUNG!$I51), ISBLANK(UNTERNEHMUNG!$M51), UNTERNEHMUNG!$P51=""), 2,
IF(AND(NOT(ISBLANK(UNTERNEHMUNG!$D51)), ISNUMBER(UNTERNEHMUNG!$D51), NOT(ISBLANK(UNTERNEHMUNG!$F51)), ISNUMBER(UNTERNEHMUNG!$F51), NOT(ISBLANK(UNTERNEHMUNG!$I51)), ISNUMBER(UNTERNEHMUNG!$I51), NOT(ISBLANK(UNTERNEHMUNG!$M51)), ISNUMBER(UNTERNEHMUNG!$M51)), 1,
0))</f>
        <v>2</v>
      </c>
    </row>
    <row r="64" spans="1:7" x14ac:dyDescent="0.25">
      <c r="A64" s="118" t="s">
        <v>68</v>
      </c>
      <c r="B64" s="118">
        <f>IF(AND(ISBLANK(UNTERNEHMUNG!$D52), ISBLANK(UNTERNEHMUNG!$F52), ISBLANK(UNTERNEHMUNG!$I52), ISBLANK(UNTERNEHMUNG!$M52), UNTERNEHMUNG!$P52=""), 2,
IF(AND(NOT(ISBLANK(UNTERNEHMUNG!$D52)), ISNUMBER(UNTERNEHMUNG!$D52), NOT(ISBLANK(UNTERNEHMUNG!$F52)), ISNUMBER(UNTERNEHMUNG!$F52), NOT(ISBLANK(UNTERNEHMUNG!$I52)), ISNUMBER(UNTERNEHMUNG!$I52), NOT(ISBLANK(UNTERNEHMUNG!$M52)), ISNUMBER(UNTERNEHMUNG!$M52)), 1,
0))</f>
        <v>2</v>
      </c>
    </row>
    <row r="65" spans="1:2" x14ac:dyDescent="0.25">
      <c r="A65" s="118" t="s">
        <v>69</v>
      </c>
      <c r="B65" s="118">
        <f>IF(AND(ISBLANK(UNTERNEHMUNG!$D53), ISBLANK(UNTERNEHMUNG!$F53), ISBLANK(UNTERNEHMUNG!$I53), ISBLANK(UNTERNEHMUNG!$M53), UNTERNEHMUNG!$P53=""), 2,
IF(AND(NOT(ISBLANK(UNTERNEHMUNG!$D53)), ISNUMBER(UNTERNEHMUNG!$D53), NOT(ISBLANK(UNTERNEHMUNG!$F53)), ISNUMBER(UNTERNEHMUNG!$F53), NOT(ISBLANK(UNTERNEHMUNG!$I53)), ISNUMBER(UNTERNEHMUNG!$I53), NOT(ISBLANK(UNTERNEHMUNG!$M53)), ISNUMBER(UNTERNEHMUNG!$M53)), 1,
0))</f>
        <v>2</v>
      </c>
    </row>
    <row r="66" spans="1:2" x14ac:dyDescent="0.25">
      <c r="A66" s="118" t="s">
        <v>70</v>
      </c>
      <c r="B66" s="118">
        <f>IF(AND(ISBLANK(UNTERNEHMUNG!$D54), ISBLANK(UNTERNEHMUNG!$F54), ISBLANK(UNTERNEHMUNG!$I54), ISBLANK(UNTERNEHMUNG!$M54), UNTERNEHMUNG!$P54=""), 2,
IF(AND(NOT(ISBLANK(UNTERNEHMUNG!$D54)), ISNUMBER(UNTERNEHMUNG!$D54), NOT(ISBLANK(UNTERNEHMUNG!$F54)), ISNUMBER(UNTERNEHMUNG!$F54), NOT(ISBLANK(UNTERNEHMUNG!$I54)), ISNUMBER(UNTERNEHMUNG!$I54), NOT(ISBLANK(UNTERNEHMUNG!$M54)), ISNUMBER(UNTERNEHMUNG!$M54)), 1,
0))</f>
        <v>2</v>
      </c>
    </row>
    <row r="67" spans="1:2" x14ac:dyDescent="0.25">
      <c r="A67" s="118" t="s">
        <v>71</v>
      </c>
      <c r="B67" s="118">
        <f>IF(AND(ISBLANK(UNTERNEHMUNG!$D55), ISBLANK(UNTERNEHMUNG!$F55), ISBLANK(UNTERNEHMUNG!$I55), ISBLANK(UNTERNEHMUNG!$M55), UNTERNEHMUNG!$P55=""), 2,
IF(AND(NOT(ISBLANK(UNTERNEHMUNG!$D55)), ISNUMBER(UNTERNEHMUNG!$D55), NOT(ISBLANK(UNTERNEHMUNG!$F55)), ISNUMBER(UNTERNEHMUNG!$F55), NOT(ISBLANK(UNTERNEHMUNG!$I55)), ISNUMBER(UNTERNEHMUNG!$I55), NOT(ISBLANK(UNTERNEHMUNG!$M55)), ISNUMBER(UNTERNEHMUNG!$M55)), 1,
0))</f>
        <v>2</v>
      </c>
    </row>
    <row r="68" spans="1:2" x14ac:dyDescent="0.25">
      <c r="A68" s="118" t="s">
        <v>72</v>
      </c>
      <c r="B68" s="118">
        <f>IF(AND(ISBLANK(UNTERNEHMUNG!$D56), ISBLANK(UNTERNEHMUNG!$F56), ISBLANK(UNTERNEHMUNG!$I56), ISBLANK(UNTERNEHMUNG!$M56), UNTERNEHMUNG!$P56=""), 2,
IF(AND(NOT(ISBLANK(UNTERNEHMUNG!$D56)), ISNUMBER(UNTERNEHMUNG!$D56), NOT(ISBLANK(UNTERNEHMUNG!$F56)), ISNUMBER(UNTERNEHMUNG!$F56), NOT(ISBLANK(UNTERNEHMUNG!$I56)), ISNUMBER(UNTERNEHMUNG!$I56), NOT(ISBLANK(UNTERNEHMUNG!$M56)), ISNUMBER(UNTERNEHMUNG!$M56)), 1,
0))</f>
        <v>2</v>
      </c>
    </row>
    <row r="69" spans="1:2" x14ac:dyDescent="0.25">
      <c r="A69" s="118" t="s">
        <v>171</v>
      </c>
      <c r="B69" s="118">
        <f>IF(AND(ISBLANK(UNTERNEHMUNG!$D57), ISBLANK(UNTERNEHMUNG!$F57), ISBLANK(UNTERNEHMUNG!$I57), ISBLANK(UNTERNEHMUNG!$M57), UNTERNEHMUNG!$P57=""), 2,
IF(AND(NOT(ISBLANK(UNTERNEHMUNG!$D57)), ISNUMBER(UNTERNEHMUNG!$D57), NOT(ISBLANK(UNTERNEHMUNG!$F57)), ISNUMBER(UNTERNEHMUNG!$F57), NOT(ISBLANK(UNTERNEHMUNG!$I57)), ISNUMBER(UNTERNEHMUNG!$I57), NOT(ISBLANK(UNTERNEHMUNG!$M57)), ISNUMBER(UNTERNEHMUNG!$M57)), 1,
0))</f>
        <v>2</v>
      </c>
    </row>
    <row r="70" spans="1:2" x14ac:dyDescent="0.25">
      <c r="A70" s="118" t="s">
        <v>73</v>
      </c>
      <c r="B70" s="118">
        <f>IF(AND(ISBLANK(UNTERNEHMUNG!$D58), ISBLANK(UNTERNEHMUNG!$F58), ISBLANK(UNTERNEHMUNG!$I58), ISBLANK(UNTERNEHMUNG!$M58), UNTERNEHMUNG!$P58=""), 2,
IF(AND(NOT(ISBLANK(UNTERNEHMUNG!$D58)), ISNUMBER(UNTERNEHMUNG!$D58), NOT(ISBLANK(UNTERNEHMUNG!$F58)), ISNUMBER(UNTERNEHMUNG!$F58), NOT(ISBLANK(UNTERNEHMUNG!$I58)), ISNUMBER(UNTERNEHMUNG!$I58), NOT(ISBLANK(UNTERNEHMUNG!$M58)), ISNUMBER(UNTERNEHMUNG!$M58)), 1,
0))</f>
        <v>2</v>
      </c>
    </row>
    <row r="72" spans="1:2" x14ac:dyDescent="0.25">
      <c r="A72" s="121" t="s">
        <v>74</v>
      </c>
      <c r="B72" s="118" t="s">
        <v>251</v>
      </c>
    </row>
    <row r="73" spans="1:2" x14ac:dyDescent="0.25">
      <c r="A73" s="118" t="s">
        <v>255</v>
      </c>
      <c r="B73" s="118">
        <f>IF(OR(NOT(ISNUMBER(UNTERNEHMUNG!$H$62)),NOT(ISNUMBER(UNTERNEHMUNG!$H$64)),NOT(ISNUMBER(UNTERNEHMUNG!$H$66))),0,IF(AND(ISNUMBER(UNTERNEHMUNG!$H$62),ISNUMBER(UNTERNEHMUNG!$H$64),ISNUMBER(UNTERNEHMUNG!$H$66),helper_UNTERNEHMUNG!$B$4=5),1,0))</f>
        <v>0</v>
      </c>
    </row>
    <row r="75" spans="1:2" x14ac:dyDescent="0.25">
      <c r="A75" s="118" t="s">
        <v>278</v>
      </c>
      <c r="B75" s="118" cm="1">
        <f t="array" ref="B75">IF(OR($B$29=0,$B$32:$B$35=0,$B$39:$B$53=0,$B$56:$B$70=0,$B$73=0),0,1)</f>
        <v>0</v>
      </c>
    </row>
  </sheetData>
  <sheetProtection algorithmName="SHA-512" hashValue="EVX0u87Jb/gBax5sE541NdYDyum6C1i07dULP7j36s0WtwexPsOdXwiVhnWsY66qeQdgmNGS3IMVEyneZzbmiw==" saltValue="/AaQys2l8dUwllV0I8P38Q==" spinCount="100000" sheet="1" objects="1" scenarios="1" selectLockedCells="1" selectUnlockedCells="1"/>
  <mergeCells count="1">
    <mergeCell ref="C40:C53"/>
  </mergeCells>
  <phoneticPr fontId="16"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C8573-AF16-4EEF-9F84-4CF9610329D0}">
  <sheetPr codeName="TAB12"/>
  <dimension ref="A1:G71"/>
  <sheetViews>
    <sheetView workbookViewId="0"/>
  </sheetViews>
  <sheetFormatPr defaultColWidth="9.140625" defaultRowHeight="15" x14ac:dyDescent="0.25"/>
  <cols>
    <col min="1" max="1" width="18" customWidth="1"/>
  </cols>
  <sheetData>
    <row r="1" spans="1:2" ht="75.75" customHeight="1" x14ac:dyDescent="0.25">
      <c r="A1" s="24"/>
    </row>
    <row r="2" spans="1:2" ht="75.75" customHeight="1" x14ac:dyDescent="0.25"/>
    <row r="4" spans="1:2" x14ac:dyDescent="0.25">
      <c r="B4" s="19"/>
    </row>
    <row r="28" spans="1:3" x14ac:dyDescent="0.25">
      <c r="A28" s="43"/>
      <c r="B28" s="44"/>
    </row>
    <row r="29" spans="1:3" x14ac:dyDescent="0.25">
      <c r="B29" s="19"/>
    </row>
    <row r="31" spans="1:3" x14ac:dyDescent="0.25">
      <c r="A31" s="43"/>
      <c r="B31" s="44"/>
      <c r="C31" s="44"/>
    </row>
    <row r="32" spans="1:3" x14ac:dyDescent="0.25">
      <c r="B32" s="19"/>
    </row>
    <row r="33" spans="1:7" x14ac:dyDescent="0.25">
      <c r="B33" s="19"/>
    </row>
    <row r="34" spans="1:7" x14ac:dyDescent="0.25">
      <c r="B34" s="19"/>
    </row>
    <row r="35" spans="1:7" x14ac:dyDescent="0.25">
      <c r="B35" s="19"/>
    </row>
    <row r="37" spans="1:7" x14ac:dyDescent="0.25">
      <c r="A37" s="43"/>
      <c r="B37" s="44"/>
    </row>
    <row r="39" spans="1:7" x14ac:dyDescent="0.25">
      <c r="C39" s="327"/>
      <c r="D39" s="327"/>
      <c r="E39" s="327"/>
      <c r="F39" s="327"/>
      <c r="G39" s="327"/>
    </row>
    <row r="40" spans="1:7" x14ac:dyDescent="0.25">
      <c r="C40" s="327"/>
      <c r="D40" s="327"/>
      <c r="E40" s="327"/>
      <c r="F40" s="327"/>
      <c r="G40" s="327"/>
    </row>
    <row r="41" spans="1:7" x14ac:dyDescent="0.25">
      <c r="C41" s="327"/>
      <c r="D41" s="327"/>
      <c r="E41" s="327"/>
      <c r="F41" s="327"/>
      <c r="G41" s="327"/>
    </row>
    <row r="42" spans="1:7" x14ac:dyDescent="0.25">
      <c r="C42" s="327"/>
      <c r="D42" s="327"/>
      <c r="E42" s="327"/>
      <c r="F42" s="327"/>
      <c r="G42" s="327"/>
    </row>
    <row r="43" spans="1:7" x14ac:dyDescent="0.25">
      <c r="C43" s="327"/>
      <c r="D43" s="327"/>
      <c r="E43" s="327"/>
      <c r="F43" s="327"/>
      <c r="G43" s="327"/>
    </row>
    <row r="44" spans="1:7" x14ac:dyDescent="0.25">
      <c r="C44" s="327"/>
      <c r="D44" s="327"/>
      <c r="E44" s="327"/>
      <c r="F44" s="327"/>
      <c r="G44" s="327"/>
    </row>
    <row r="45" spans="1:7" x14ac:dyDescent="0.25">
      <c r="C45" s="327"/>
      <c r="D45" s="327"/>
      <c r="E45" s="327"/>
      <c r="F45" s="327"/>
      <c r="G45" s="327"/>
    </row>
    <row r="46" spans="1:7" x14ac:dyDescent="0.25">
      <c r="C46" s="327"/>
      <c r="D46" s="327"/>
      <c r="E46" s="327"/>
      <c r="F46" s="327"/>
      <c r="G46" s="327"/>
    </row>
    <row r="47" spans="1:7" x14ac:dyDescent="0.25">
      <c r="C47" s="327"/>
      <c r="D47" s="327"/>
      <c r="E47" s="327"/>
      <c r="F47" s="327"/>
      <c r="G47" s="327"/>
    </row>
    <row r="48" spans="1:7" x14ac:dyDescent="0.25">
      <c r="C48" s="327"/>
      <c r="D48" s="327"/>
      <c r="E48" s="327"/>
      <c r="F48" s="327"/>
      <c r="G48" s="327"/>
    </row>
    <row r="49" spans="1:7" x14ac:dyDescent="0.25">
      <c r="C49" s="327"/>
      <c r="D49" s="327"/>
      <c r="E49" s="327"/>
      <c r="F49" s="327"/>
      <c r="G49" s="327"/>
    </row>
    <row r="50" spans="1:7" x14ac:dyDescent="0.25">
      <c r="C50" s="327"/>
      <c r="D50" s="327"/>
      <c r="E50" s="327"/>
      <c r="F50" s="327"/>
      <c r="G50" s="327"/>
    </row>
    <row r="51" spans="1:7" x14ac:dyDescent="0.25">
      <c r="C51" s="327"/>
      <c r="D51" s="327"/>
      <c r="E51" s="327"/>
      <c r="F51" s="327"/>
      <c r="G51" s="327"/>
    </row>
    <row r="52" spans="1:7" x14ac:dyDescent="0.25">
      <c r="C52" s="327"/>
      <c r="D52" s="327"/>
      <c r="E52" s="327"/>
      <c r="F52" s="327"/>
      <c r="G52" s="327"/>
    </row>
    <row r="54" spans="1:7" x14ac:dyDescent="0.25">
      <c r="A54" s="44"/>
    </row>
    <row r="71" spans="1:1" x14ac:dyDescent="0.25">
      <c r="A71" s="44"/>
    </row>
  </sheetData>
  <sheetProtection algorithmName="SHA-512" hashValue="r7Ga6sp6ziovMH2ebDhjrxOhvqPqDXLJBm4yoH7lVGBNze1xptmTjc0GHrm1ephoy4W/a8NO3qsZtrlEwPtDXg==" saltValue="xmu3QIOGXAHi2F9iQpGdrw==" spinCount="100000" sheet="1" selectLockedCells="1" selectUnlockedCells="1"/>
  <mergeCells count="1">
    <mergeCell ref="C39:G52"/>
  </mergeCell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1449C-9958-4C98-826B-268CF34D6CC9}">
  <sheetPr codeName="TAB20">
    <tabColor rgb="FFD3F3CE"/>
    <pageSetUpPr fitToPage="1"/>
  </sheetPr>
  <dimension ref="A1:R84"/>
  <sheetViews>
    <sheetView showGridLines="0" showRowColHeaders="0" topLeftCell="A19" zoomScaleNormal="100" workbookViewId="0">
      <selection activeCell="P38" sqref="P38:Q42"/>
      <extLst>
        <ext xmlns:xlsdti="http://schemas.microsoft.com/office/spreadsheetml/2023/showDataTypeIcons" uri="{77bfe23e-c014-4d31-8a63-9c772dbf06b6}">
          <xlsdti:showDataTypeIcons visible="0"/>
        </ext>
      </extLst>
    </sheetView>
  </sheetViews>
  <sheetFormatPr defaultColWidth="11.42578125" defaultRowHeight="15" x14ac:dyDescent="0.25"/>
  <cols>
    <col min="1" max="1" width="5.140625" customWidth="1"/>
    <col min="2" max="3" width="2.85546875" customWidth="1"/>
    <col min="4" max="4" width="11.28515625" customWidth="1"/>
    <col min="6" max="6" width="11.42578125" customWidth="1"/>
    <col min="7" max="7" width="3.42578125" customWidth="1"/>
    <col min="8" max="8" width="1.7109375" customWidth="1"/>
    <col min="9" max="9" width="6.85546875" customWidth="1"/>
    <col min="10" max="10" width="2.85546875" customWidth="1"/>
    <col min="11" max="11" width="4.140625" customWidth="1"/>
    <col min="12" max="12" width="9" customWidth="1"/>
    <col min="13" max="13" width="5.140625" customWidth="1"/>
    <col min="14" max="14" width="6.42578125" customWidth="1"/>
    <col min="15" max="15" width="10" customWidth="1"/>
    <col min="16" max="16" width="12.28515625" customWidth="1"/>
    <col min="17" max="17" width="3.28515625" customWidth="1"/>
    <col min="18" max="18" width="2.85546875" customWidth="1"/>
  </cols>
  <sheetData>
    <row r="1" spans="1:18" x14ac:dyDescent="0.25">
      <c r="A1" s="301" t="s">
        <v>28</v>
      </c>
      <c r="B1" s="301"/>
      <c r="C1" s="301"/>
      <c r="D1" s="301"/>
      <c r="E1" s="301"/>
      <c r="F1" s="301"/>
      <c r="G1" s="301"/>
      <c r="H1" s="301"/>
      <c r="I1" s="301"/>
      <c r="J1" s="301"/>
      <c r="K1" s="301"/>
      <c r="L1" s="301"/>
      <c r="M1" s="301"/>
      <c r="N1" s="301"/>
      <c r="O1" s="301"/>
      <c r="P1" s="301"/>
      <c r="Q1" s="301"/>
      <c r="R1" s="301"/>
    </row>
    <row r="2" spans="1:18" ht="11.25" customHeight="1" x14ac:dyDescent="0.25">
      <c r="A2" s="310"/>
      <c r="B2" s="310"/>
      <c r="C2" s="310"/>
      <c r="D2" s="310"/>
      <c r="E2" s="310"/>
      <c r="F2" s="310"/>
      <c r="G2" s="310"/>
      <c r="H2" s="310"/>
      <c r="I2" s="310"/>
      <c r="J2" s="310"/>
      <c r="K2" s="310"/>
      <c r="L2" s="310"/>
      <c r="M2" s="310"/>
      <c r="N2" s="310"/>
      <c r="O2" s="310"/>
      <c r="P2" s="310"/>
      <c r="Q2" s="310"/>
      <c r="R2" s="6"/>
    </row>
    <row r="3" spans="1:18" ht="15" customHeight="1" x14ac:dyDescent="0.25">
      <c r="A3" s="271" t="s">
        <v>30</v>
      </c>
      <c r="B3" s="271"/>
      <c r="C3" s="271"/>
      <c r="D3" s="271"/>
      <c r="E3" s="271"/>
      <c r="F3" s="271"/>
      <c r="G3" s="271"/>
      <c r="H3" s="390"/>
      <c r="I3" s="232" t="s">
        <v>2</v>
      </c>
      <c r="J3" s="1"/>
      <c r="K3" s="293"/>
      <c r="L3" s="294"/>
      <c r="M3" s="294"/>
      <c r="N3" s="294"/>
      <c r="O3" s="294"/>
      <c r="P3" s="294"/>
      <c r="Q3" s="295"/>
      <c r="R3" s="21">
        <f>helper_ENERGIETECHNIK!$B$2</f>
        <v>0</v>
      </c>
    </row>
    <row r="4" spans="1:18" ht="9" customHeight="1" x14ac:dyDescent="0.25">
      <c r="A4" s="219"/>
      <c r="B4" s="219"/>
      <c r="C4" s="219"/>
      <c r="D4" s="219"/>
      <c r="E4" s="219"/>
      <c r="F4" s="219"/>
      <c r="G4" s="219"/>
      <c r="H4" s="391"/>
      <c r="I4" s="233"/>
      <c r="J4" s="2"/>
      <c r="K4" s="297" t="s">
        <v>6</v>
      </c>
      <c r="L4" s="297"/>
      <c r="M4" s="297"/>
      <c r="N4" s="297"/>
      <c r="O4" s="297"/>
      <c r="P4" s="297"/>
      <c r="Q4" s="298"/>
      <c r="R4" s="6"/>
    </row>
    <row r="5" spans="1:18" x14ac:dyDescent="0.25">
      <c r="A5" s="219"/>
      <c r="B5" s="219"/>
      <c r="C5" s="219"/>
      <c r="D5" s="219"/>
      <c r="E5" s="219"/>
      <c r="F5" s="219"/>
      <c r="G5" s="219"/>
      <c r="H5" s="391"/>
      <c r="I5" s="233"/>
      <c r="J5" s="2"/>
      <c r="K5" s="293"/>
      <c r="L5" s="294"/>
      <c r="M5" s="294"/>
      <c r="N5" s="294"/>
      <c r="O5" s="294"/>
      <c r="P5" s="294"/>
      <c r="Q5" s="295"/>
      <c r="R5" s="6"/>
    </row>
    <row r="6" spans="1:18" ht="9" customHeight="1" x14ac:dyDescent="0.25">
      <c r="A6" s="219"/>
      <c r="B6" s="219"/>
      <c r="C6" s="219"/>
      <c r="D6" s="219"/>
      <c r="E6" s="219"/>
      <c r="F6" s="219"/>
      <c r="G6" s="219"/>
      <c r="H6" s="391"/>
      <c r="I6" s="233"/>
      <c r="J6" s="2"/>
      <c r="K6" s="297" t="s">
        <v>7</v>
      </c>
      <c r="L6" s="297" t="s">
        <v>7</v>
      </c>
      <c r="M6" s="297"/>
      <c r="N6" s="297"/>
      <c r="O6" s="297"/>
      <c r="P6" s="297"/>
      <c r="Q6" s="298"/>
      <c r="R6" s="6"/>
    </row>
    <row r="7" spans="1:18" x14ac:dyDescent="0.25">
      <c r="A7" s="219"/>
      <c r="B7" s="219"/>
      <c r="C7" s="219"/>
      <c r="D7" s="219"/>
      <c r="E7" s="219"/>
      <c r="F7" s="219"/>
      <c r="G7" s="219"/>
      <c r="H7" s="391"/>
      <c r="I7" s="233"/>
      <c r="J7" s="2"/>
      <c r="K7" s="293"/>
      <c r="L7" s="294"/>
      <c r="M7" s="294"/>
      <c r="N7" s="294"/>
      <c r="O7" s="294"/>
      <c r="P7" s="294"/>
      <c r="Q7" s="295"/>
      <c r="R7" s="6"/>
    </row>
    <row r="8" spans="1:18" ht="9" customHeight="1" x14ac:dyDescent="0.25">
      <c r="A8" s="219"/>
      <c r="B8" s="219"/>
      <c r="C8" s="219"/>
      <c r="D8" s="219"/>
      <c r="E8" s="219"/>
      <c r="F8" s="219"/>
      <c r="G8" s="219"/>
      <c r="H8" s="391"/>
      <c r="I8" s="233"/>
      <c r="J8" s="2"/>
      <c r="K8" s="297" t="s">
        <v>8</v>
      </c>
      <c r="L8" s="297" t="s">
        <v>8</v>
      </c>
      <c r="M8" s="297"/>
      <c r="N8" s="297"/>
      <c r="O8" s="297"/>
      <c r="P8" s="297"/>
      <c r="Q8" s="298"/>
      <c r="R8" s="6"/>
    </row>
    <row r="9" spans="1:18" x14ac:dyDescent="0.25">
      <c r="A9" s="219"/>
      <c r="B9" s="219"/>
      <c r="C9" s="219"/>
      <c r="D9" s="219"/>
      <c r="E9" s="219"/>
      <c r="F9" s="219"/>
      <c r="G9" s="219"/>
      <c r="H9" s="391"/>
      <c r="I9" s="233"/>
      <c r="J9" s="2"/>
      <c r="K9" s="293"/>
      <c r="L9" s="294"/>
      <c r="M9" s="294"/>
      <c r="N9" s="294"/>
      <c r="O9" s="294"/>
      <c r="P9" s="294"/>
      <c r="Q9" s="295"/>
      <c r="R9" s="6"/>
    </row>
    <row r="10" spans="1:18" ht="9" customHeight="1" x14ac:dyDescent="0.25">
      <c r="A10" s="219"/>
      <c r="B10" s="219"/>
      <c r="C10" s="219"/>
      <c r="D10" s="219"/>
      <c r="E10" s="219"/>
      <c r="F10" s="219"/>
      <c r="G10" s="219"/>
      <c r="H10" s="391"/>
      <c r="I10" s="233"/>
      <c r="J10" s="2"/>
      <c r="K10" s="299" t="s">
        <v>9</v>
      </c>
      <c r="L10" s="299" t="s">
        <v>9</v>
      </c>
      <c r="M10" s="299"/>
      <c r="N10" s="299"/>
      <c r="O10" s="299"/>
      <c r="P10" s="299"/>
      <c r="Q10" s="300"/>
      <c r="R10" s="6"/>
    </row>
    <row r="11" spans="1:18" ht="15" customHeight="1" x14ac:dyDescent="0.25">
      <c r="A11" s="219"/>
      <c r="B11" s="219"/>
      <c r="C11" s="219"/>
      <c r="D11" s="219"/>
      <c r="E11" s="219"/>
      <c r="F11" s="219"/>
      <c r="G11" s="219"/>
      <c r="H11" s="391"/>
      <c r="I11" s="233"/>
      <c r="J11" s="2"/>
      <c r="K11" s="293"/>
      <c r="L11" s="294"/>
      <c r="M11" s="294"/>
      <c r="N11" s="294"/>
      <c r="O11" s="294"/>
      <c r="P11" s="294"/>
      <c r="Q11" s="295"/>
      <c r="R11" s="6"/>
    </row>
    <row r="12" spans="1:18" ht="9" customHeight="1" x14ac:dyDescent="0.25">
      <c r="A12" s="220"/>
      <c r="B12" s="220"/>
      <c r="C12" s="220"/>
      <c r="D12" s="220"/>
      <c r="E12" s="220"/>
      <c r="F12" s="220"/>
      <c r="G12" s="220"/>
      <c r="H12" s="392"/>
      <c r="I12" s="275"/>
      <c r="J12" s="3"/>
      <c r="K12" s="299" t="s">
        <v>27</v>
      </c>
      <c r="L12" s="299"/>
      <c r="M12" s="299"/>
      <c r="N12" s="299"/>
      <c r="O12" s="299"/>
      <c r="P12" s="299"/>
      <c r="Q12" s="300"/>
      <c r="R12" s="6"/>
    </row>
    <row r="13" spans="1:18" ht="11.25" customHeight="1" x14ac:dyDescent="0.25">
      <c r="A13" s="279"/>
      <c r="B13" s="279"/>
      <c r="C13" s="279"/>
      <c r="D13" s="279"/>
      <c r="E13" s="279"/>
      <c r="F13" s="279"/>
      <c r="G13" s="279"/>
      <c r="H13" s="279"/>
      <c r="I13" s="279"/>
      <c r="J13" s="279"/>
      <c r="K13" s="279"/>
      <c r="L13" s="279"/>
      <c r="M13" s="279"/>
      <c r="N13" s="279"/>
      <c r="O13" s="279"/>
      <c r="P13" s="279"/>
      <c r="Q13" s="279"/>
      <c r="R13" s="6"/>
    </row>
    <row r="14" spans="1:18" ht="15" customHeight="1" x14ac:dyDescent="0.25">
      <c r="A14" s="272" t="s">
        <v>31</v>
      </c>
      <c r="B14" s="259"/>
      <c r="C14" s="259"/>
      <c r="D14" s="259"/>
      <c r="E14" s="259"/>
      <c r="F14" s="259"/>
      <c r="G14" s="259"/>
      <c r="H14" s="259"/>
      <c r="I14" s="324" t="s">
        <v>18</v>
      </c>
      <c r="J14" s="324"/>
      <c r="K14" s="324"/>
      <c r="L14" s="47" t="s">
        <v>19</v>
      </c>
      <c r="M14" s="393" t="s">
        <v>38</v>
      </c>
      <c r="N14" s="393"/>
      <c r="O14" s="393"/>
      <c r="P14" s="393"/>
      <c r="Q14" s="393"/>
      <c r="R14" s="6"/>
    </row>
    <row r="15" spans="1:18" ht="22.5" customHeight="1" x14ac:dyDescent="0.25">
      <c r="A15" s="273"/>
      <c r="B15" s="355" t="s">
        <v>32</v>
      </c>
      <c r="C15" s="355"/>
      <c r="D15" s="355"/>
      <c r="E15" s="355"/>
      <c r="F15" s="355"/>
      <c r="G15" s="355"/>
      <c r="H15" s="355"/>
      <c r="I15" s="214"/>
      <c r="J15" s="214"/>
      <c r="K15" s="214"/>
      <c r="M15" s="4"/>
      <c r="N15" s="4"/>
      <c r="O15" s="358" t="s">
        <v>37</v>
      </c>
      <c r="P15" s="358"/>
      <c r="Q15" s="359"/>
      <c r="R15" s="21">
        <f>helper_ENERGIETECHNIK!$B5</f>
        <v>0</v>
      </c>
    </row>
    <row r="16" spans="1:18" ht="22.5" customHeight="1" x14ac:dyDescent="0.25">
      <c r="A16" s="273"/>
      <c r="B16" s="355" t="s">
        <v>36</v>
      </c>
      <c r="C16" s="355"/>
      <c r="D16" s="355"/>
      <c r="E16" s="355"/>
      <c r="F16" s="355"/>
      <c r="G16" s="355"/>
      <c r="H16" s="355"/>
      <c r="I16" s="214"/>
      <c r="J16" s="214"/>
      <c r="K16" s="214"/>
      <c r="M16" s="5"/>
      <c r="N16" s="5"/>
      <c r="O16" s="373" t="s">
        <v>37</v>
      </c>
      <c r="P16" s="373"/>
      <c r="Q16" s="374"/>
      <c r="R16" s="21">
        <f>helper_ENERGIETECHNIK!$B6</f>
        <v>0</v>
      </c>
    </row>
    <row r="17" spans="1:18" ht="22.5" customHeight="1" x14ac:dyDescent="0.25">
      <c r="A17" s="273"/>
      <c r="B17" s="355" t="s">
        <v>35</v>
      </c>
      <c r="C17" s="355"/>
      <c r="D17" s="355"/>
      <c r="E17" s="355"/>
      <c r="F17" s="355"/>
      <c r="G17" s="355"/>
      <c r="H17" s="355"/>
      <c r="I17" s="214"/>
      <c r="J17" s="214"/>
      <c r="K17" s="214"/>
      <c r="M17" s="5"/>
      <c r="N17" s="5"/>
      <c r="O17" s="373" t="s">
        <v>37</v>
      </c>
      <c r="P17" s="373"/>
      <c r="Q17" s="374"/>
      <c r="R17" s="21">
        <f>helper_ENERGIETECHNIK!$B7</f>
        <v>0</v>
      </c>
    </row>
    <row r="18" spans="1:18" ht="22.5" customHeight="1" x14ac:dyDescent="0.25">
      <c r="A18" s="273"/>
      <c r="B18" s="355" t="s">
        <v>34</v>
      </c>
      <c r="C18" s="355"/>
      <c r="D18" s="355"/>
      <c r="E18" s="355"/>
      <c r="F18" s="355"/>
      <c r="G18" s="355"/>
      <c r="H18" s="355"/>
      <c r="I18" s="214"/>
      <c r="J18" s="214"/>
      <c r="K18" s="214"/>
      <c r="M18" s="5"/>
      <c r="N18" s="5"/>
      <c r="O18" s="373" t="s">
        <v>49</v>
      </c>
      <c r="P18" s="373"/>
      <c r="Q18" s="374"/>
      <c r="R18" s="21">
        <f>helper_ENERGIETECHNIK!$B8</f>
        <v>0</v>
      </c>
    </row>
    <row r="19" spans="1:18" ht="22.5" customHeight="1" x14ac:dyDescent="0.25">
      <c r="A19" s="274"/>
      <c r="B19" s="355" t="s">
        <v>33</v>
      </c>
      <c r="C19" s="355"/>
      <c r="D19" s="355"/>
      <c r="E19" s="355"/>
      <c r="F19" s="355"/>
      <c r="G19" s="355"/>
      <c r="H19" s="355"/>
      <c r="I19" s="357"/>
      <c r="J19" s="357"/>
      <c r="K19" s="357"/>
      <c r="L19" s="50"/>
      <c r="M19" s="51"/>
      <c r="N19" s="51"/>
      <c r="O19" s="364" t="s">
        <v>49</v>
      </c>
      <c r="P19" s="364"/>
      <c r="Q19" s="365"/>
      <c r="R19" s="21">
        <f>helper_ENERGIETECHNIK!$B9</f>
        <v>0</v>
      </c>
    </row>
    <row r="20" spans="1:18" ht="11.25" customHeight="1" x14ac:dyDescent="0.25">
      <c r="A20" s="311"/>
      <c r="B20" s="311"/>
      <c r="C20" s="311"/>
      <c r="D20" s="311"/>
      <c r="E20" s="311"/>
      <c r="F20" s="311"/>
      <c r="G20" s="311"/>
      <c r="H20" s="311"/>
      <c r="I20" s="311"/>
      <c r="J20" s="311"/>
      <c r="K20" s="311"/>
      <c r="L20" s="311"/>
      <c r="M20" s="311"/>
      <c r="N20" s="311"/>
      <c r="O20" s="311"/>
      <c r="P20" s="311"/>
      <c r="Q20" s="311"/>
      <c r="R20" s="6"/>
    </row>
    <row r="21" spans="1:18" ht="67.5" customHeight="1" x14ac:dyDescent="0.25">
      <c r="A21" s="272" t="s">
        <v>39</v>
      </c>
      <c r="B21" s="366" t="s">
        <v>40</v>
      </c>
      <c r="C21" s="366"/>
      <c r="D21" s="366"/>
      <c r="E21" s="366"/>
      <c r="F21" s="366"/>
      <c r="G21" s="366"/>
      <c r="H21" s="366"/>
      <c r="I21" s="366"/>
      <c r="J21" s="366"/>
      <c r="K21" s="366"/>
      <c r="L21" s="366"/>
      <c r="M21" s="366"/>
      <c r="N21" s="366"/>
      <c r="O21" s="366"/>
      <c r="P21" s="366"/>
      <c r="Q21" s="367"/>
      <c r="R21" s="6"/>
    </row>
    <row r="22" spans="1:18" ht="11.25" customHeight="1" x14ac:dyDescent="0.25">
      <c r="A22" s="273"/>
      <c r="B22" s="46"/>
      <c r="C22" s="46"/>
      <c r="D22" s="46"/>
      <c r="E22" s="46"/>
      <c r="F22" s="46"/>
      <c r="G22" s="46"/>
      <c r="H22" s="46"/>
      <c r="I22" s="46"/>
      <c r="J22" s="46"/>
      <c r="K22" s="46"/>
      <c r="L22" s="46"/>
      <c r="M22" s="46"/>
      <c r="N22" s="46"/>
      <c r="O22" s="46"/>
      <c r="P22" s="46"/>
      <c r="Q22" s="52"/>
      <c r="R22" s="6"/>
    </row>
    <row r="23" spans="1:18" ht="26.25" customHeight="1" x14ac:dyDescent="0.25">
      <c r="A23" s="273"/>
      <c r="B23" s="354" t="s">
        <v>41</v>
      </c>
      <c r="C23" s="355"/>
      <c r="D23" s="355"/>
      <c r="E23" s="355"/>
      <c r="F23" s="356"/>
      <c r="G23" s="368" t="s">
        <v>42</v>
      </c>
      <c r="H23" s="368"/>
      <c r="I23" s="368"/>
      <c r="J23" s="369"/>
      <c r="K23" s="369"/>
      <c r="L23" s="6"/>
      <c r="M23" s="6"/>
      <c r="N23" s="6"/>
      <c r="O23" s="6"/>
      <c r="P23" s="6"/>
      <c r="Q23" s="22"/>
      <c r="R23" s="6"/>
    </row>
    <row r="24" spans="1:18" ht="27" customHeight="1" x14ac:dyDescent="0.25">
      <c r="A24" s="273"/>
      <c r="B24" s="53" t="s">
        <v>44</v>
      </c>
      <c r="C24" s="54"/>
      <c r="D24" s="54"/>
      <c r="E24" s="54"/>
      <c r="F24" s="54"/>
      <c r="G24" s="370"/>
      <c r="H24" s="371"/>
      <c r="I24" s="372"/>
      <c r="J24" s="235" t="s">
        <v>43</v>
      </c>
      <c r="K24" s="363"/>
      <c r="L24" s="6"/>
      <c r="M24" s="6"/>
      <c r="N24" s="6"/>
      <c r="O24" s="6"/>
      <c r="P24" s="6"/>
      <c r="Q24" s="22"/>
      <c r="R24" s="418">
        <f>helper_ENERGIETECHNIK!$B$12</f>
        <v>0</v>
      </c>
    </row>
    <row r="25" spans="1:18" ht="26.25" customHeight="1" x14ac:dyDescent="0.25">
      <c r="A25" s="273"/>
      <c r="B25" s="53" t="s">
        <v>45</v>
      </c>
      <c r="C25" s="55"/>
      <c r="D25" s="55"/>
      <c r="E25" s="55"/>
      <c r="F25" s="55"/>
      <c r="G25" s="384"/>
      <c r="H25" s="385"/>
      <c r="I25" s="386"/>
      <c r="J25" s="235" t="s">
        <v>43</v>
      </c>
      <c r="K25" s="363"/>
      <c r="L25" s="6"/>
      <c r="M25" s="6"/>
      <c r="N25" s="6"/>
      <c r="O25" s="6"/>
      <c r="P25" s="6"/>
      <c r="Q25" s="22"/>
      <c r="R25" s="418"/>
    </row>
    <row r="26" spans="1:18" ht="26.25" customHeight="1" x14ac:dyDescent="0.25">
      <c r="A26" s="273"/>
      <c r="B26" s="53" t="s">
        <v>46</v>
      </c>
      <c r="C26" s="55"/>
      <c r="D26" s="55"/>
      <c r="E26" s="55"/>
      <c r="F26" s="55"/>
      <c r="G26" s="384"/>
      <c r="H26" s="385"/>
      <c r="I26" s="386"/>
      <c r="J26" s="235" t="s">
        <v>43</v>
      </c>
      <c r="K26" s="363"/>
      <c r="L26" s="6"/>
      <c r="M26" s="6"/>
      <c r="N26" s="6"/>
      <c r="O26" s="6"/>
      <c r="P26" s="6"/>
      <c r="Q26" s="22"/>
      <c r="R26" s="418"/>
    </row>
    <row r="27" spans="1:18" ht="25.5" customHeight="1" x14ac:dyDescent="0.25">
      <c r="A27" s="273"/>
      <c r="B27" s="53" t="s">
        <v>47</v>
      </c>
      <c r="C27" s="55"/>
      <c r="D27" s="55"/>
      <c r="E27" s="55"/>
      <c r="F27" s="55"/>
      <c r="G27" s="384"/>
      <c r="H27" s="385"/>
      <c r="I27" s="386"/>
      <c r="J27" s="235" t="s">
        <v>43</v>
      </c>
      <c r="K27" s="363"/>
      <c r="L27" s="6"/>
      <c r="M27" s="6"/>
      <c r="N27" s="6"/>
      <c r="O27" s="6"/>
      <c r="P27" s="6"/>
      <c r="Q27" s="22"/>
      <c r="R27" s="418"/>
    </row>
    <row r="28" spans="1:18" ht="25.5" customHeight="1" x14ac:dyDescent="0.25">
      <c r="A28" s="273"/>
      <c r="B28" s="53" t="s">
        <v>78</v>
      </c>
      <c r="C28" s="55"/>
      <c r="D28" s="55"/>
      <c r="E28" s="55"/>
      <c r="F28" s="55"/>
      <c r="G28" s="384"/>
      <c r="H28" s="385"/>
      <c r="I28" s="386"/>
      <c r="J28" s="235" t="s">
        <v>43</v>
      </c>
      <c r="K28" s="363"/>
      <c r="L28" s="6"/>
      <c r="M28" s="6"/>
      <c r="N28" s="6"/>
      <c r="O28" s="6"/>
      <c r="P28" s="6"/>
      <c r="Q28" s="22"/>
      <c r="R28" s="418"/>
    </row>
    <row r="29" spans="1:18" ht="25.5" customHeight="1" x14ac:dyDescent="0.25">
      <c r="A29" s="273"/>
      <c r="B29" s="53" t="s">
        <v>79</v>
      </c>
      <c r="C29" s="55"/>
      <c r="D29" s="55"/>
      <c r="E29" s="55"/>
      <c r="F29" s="55"/>
      <c r="G29" s="384"/>
      <c r="H29" s="385"/>
      <c r="I29" s="386"/>
      <c r="J29" s="235" t="s">
        <v>43</v>
      </c>
      <c r="K29" s="363"/>
      <c r="L29" s="6"/>
      <c r="M29" s="6"/>
      <c r="N29" s="6"/>
      <c r="O29" s="6"/>
      <c r="P29" s="6"/>
      <c r="Q29" s="22"/>
      <c r="R29" s="418"/>
    </row>
    <row r="30" spans="1:18" ht="25.5" customHeight="1" thickBot="1" x14ac:dyDescent="0.3">
      <c r="A30" s="273"/>
      <c r="B30" s="56" t="s">
        <v>48</v>
      </c>
      <c r="C30" s="57"/>
      <c r="D30" s="57"/>
      <c r="E30" s="57"/>
      <c r="F30" s="57"/>
      <c r="G30" s="407"/>
      <c r="H30" s="408"/>
      <c r="I30" s="409"/>
      <c r="J30" s="414" t="s">
        <v>43</v>
      </c>
      <c r="K30" s="415"/>
      <c r="L30" s="6"/>
      <c r="M30" s="6"/>
      <c r="N30" s="6"/>
      <c r="O30" s="6"/>
      <c r="P30" s="6"/>
      <c r="Q30" s="22"/>
      <c r="R30" s="418"/>
    </row>
    <row r="31" spans="1:18" ht="25.5" customHeight="1" thickTop="1" x14ac:dyDescent="0.25">
      <c r="A31" s="273"/>
      <c r="B31" s="397" t="s">
        <v>76</v>
      </c>
      <c r="C31" s="397"/>
      <c r="D31" s="397"/>
      <c r="E31" s="397"/>
      <c r="F31" s="398"/>
      <c r="G31" s="401">
        <f>helper_ENERGIETECHNIK!$C$13</f>
        <v>0</v>
      </c>
      <c r="H31" s="401"/>
      <c r="I31" s="401"/>
      <c r="J31" s="405" t="s">
        <v>43</v>
      </c>
      <c r="K31" s="406"/>
      <c r="L31" s="6"/>
      <c r="M31" s="6"/>
      <c r="N31" s="6"/>
      <c r="O31" s="6"/>
      <c r="P31" s="6"/>
      <c r="Q31" s="22"/>
      <c r="R31" s="6"/>
    </row>
    <row r="32" spans="1:18" ht="25.5" customHeight="1" x14ac:dyDescent="0.25">
      <c r="A32" s="273"/>
      <c r="B32" s="399" t="s">
        <v>77</v>
      </c>
      <c r="C32" s="399"/>
      <c r="D32" s="399"/>
      <c r="E32" s="399"/>
      <c r="F32" s="400"/>
      <c r="G32" s="402"/>
      <c r="H32" s="403"/>
      <c r="I32" s="404"/>
      <c r="J32" s="260" t="s">
        <v>75</v>
      </c>
      <c r="K32" s="377"/>
      <c r="L32" s="6"/>
      <c r="M32" s="6"/>
      <c r="N32" s="6"/>
      <c r="O32" s="6"/>
      <c r="P32" s="6"/>
      <c r="Q32" s="22"/>
      <c r="R32" s="21">
        <f>helper_ENERGIETECHNIK!$B$14</f>
        <v>0</v>
      </c>
    </row>
    <row r="33" spans="1:18" ht="10.5" customHeight="1" x14ac:dyDescent="0.25">
      <c r="A33" s="273"/>
      <c r="B33" s="381" t="s">
        <v>11</v>
      </c>
      <c r="C33" s="378" t="s">
        <v>80</v>
      </c>
      <c r="D33" s="379"/>
      <c r="E33" s="379"/>
      <c r="F33" s="379"/>
      <c r="G33" s="379"/>
      <c r="H33" s="379"/>
      <c r="I33" s="379"/>
      <c r="J33" s="379"/>
      <c r="K33" s="379"/>
      <c r="L33" s="379"/>
      <c r="M33" s="379"/>
      <c r="N33" s="379"/>
      <c r="O33" s="379"/>
      <c r="P33" s="379"/>
      <c r="Q33" s="380"/>
      <c r="R33" s="21"/>
    </row>
    <row r="34" spans="1:18" ht="75" customHeight="1" x14ac:dyDescent="0.25">
      <c r="A34" s="274"/>
      <c r="B34" s="382"/>
      <c r="C34" s="394"/>
      <c r="D34" s="395"/>
      <c r="E34" s="395"/>
      <c r="F34" s="395"/>
      <c r="G34" s="395"/>
      <c r="H34" s="395"/>
      <c r="I34" s="395"/>
      <c r="J34" s="395"/>
      <c r="K34" s="395"/>
      <c r="L34" s="395"/>
      <c r="M34" s="395"/>
      <c r="N34" s="395"/>
      <c r="O34" s="395"/>
      <c r="P34" s="395"/>
      <c r="Q34" s="396"/>
      <c r="R34" s="6"/>
    </row>
    <row r="35" spans="1:18" ht="11.25" customHeight="1" x14ac:dyDescent="0.25">
      <c r="A35" s="311"/>
      <c r="B35" s="311"/>
      <c r="C35" s="311"/>
      <c r="D35" s="311"/>
      <c r="E35" s="311"/>
      <c r="F35" s="311"/>
      <c r="G35" s="311"/>
      <c r="H35" s="311"/>
      <c r="I35" s="311"/>
      <c r="J35" s="311"/>
      <c r="K35" s="311"/>
      <c r="L35" s="311"/>
      <c r="M35" s="311"/>
      <c r="N35" s="311"/>
      <c r="O35" s="311"/>
      <c r="P35" s="311"/>
      <c r="Q35" s="311"/>
      <c r="R35" s="6"/>
    </row>
    <row r="36" spans="1:18" ht="9.75" customHeight="1" x14ac:dyDescent="0.25">
      <c r="A36" s="272" t="s">
        <v>81</v>
      </c>
      <c r="B36" s="420"/>
      <c r="C36" s="420"/>
      <c r="D36" s="420"/>
      <c r="E36" s="420"/>
      <c r="F36" s="420"/>
      <c r="G36" s="420"/>
      <c r="H36" s="420"/>
      <c r="I36" s="420"/>
      <c r="J36" s="420"/>
      <c r="K36" s="420"/>
      <c r="L36" s="420"/>
      <c r="M36" s="420"/>
      <c r="N36" s="420"/>
      <c r="O36" s="420"/>
      <c r="P36" s="387" t="s">
        <v>11</v>
      </c>
      <c r="Q36" s="388"/>
      <c r="R36" s="6"/>
    </row>
    <row r="37" spans="1:18" ht="15" customHeight="1" x14ac:dyDescent="0.25">
      <c r="A37" s="273"/>
      <c r="B37" s="389" t="s">
        <v>88</v>
      </c>
      <c r="C37" s="389"/>
      <c r="D37" s="389"/>
      <c r="E37" s="410" t="s">
        <v>89</v>
      </c>
      <c r="F37" s="410"/>
      <c r="G37" s="389" t="s">
        <v>90</v>
      </c>
      <c r="H37" s="389"/>
      <c r="I37" s="389"/>
      <c r="J37" s="389"/>
      <c r="K37" s="389"/>
      <c r="L37" s="389"/>
      <c r="M37" s="389"/>
      <c r="N37" s="389"/>
      <c r="O37" s="389"/>
      <c r="P37" s="389" t="s">
        <v>91</v>
      </c>
      <c r="Q37" s="419"/>
      <c r="R37" s="6"/>
    </row>
    <row r="38" spans="1:18" x14ac:dyDescent="0.25">
      <c r="A38" s="273"/>
      <c r="B38" s="375" t="s">
        <v>100</v>
      </c>
      <c r="C38" s="375"/>
      <c r="D38" s="411" t="s">
        <v>82</v>
      </c>
      <c r="E38" s="349"/>
      <c r="F38" s="141"/>
      <c r="G38" s="61" t="s">
        <v>83</v>
      </c>
      <c r="H38" s="61"/>
      <c r="I38" s="61"/>
      <c r="J38" s="61"/>
      <c r="K38" s="61"/>
      <c r="L38" s="61"/>
      <c r="M38" s="345"/>
      <c r="N38" s="383"/>
      <c r="O38" s="383"/>
      <c r="P38" s="343"/>
      <c r="Q38" s="344"/>
      <c r="R38" s="341">
        <f>helper_ENERGIETECHNIK!$B$18</f>
        <v>0</v>
      </c>
    </row>
    <row r="39" spans="1:18" x14ac:dyDescent="0.25">
      <c r="A39" s="273"/>
      <c r="B39" s="375"/>
      <c r="C39" s="375"/>
      <c r="D39" s="412"/>
      <c r="E39" s="347"/>
      <c r="F39" s="62"/>
      <c r="G39" s="63" t="s">
        <v>84</v>
      </c>
      <c r="H39" s="63"/>
      <c r="I39" s="63"/>
      <c r="J39" s="63"/>
      <c r="K39" s="63"/>
      <c r="L39" s="16"/>
      <c r="M39" s="351"/>
      <c r="N39" s="351"/>
      <c r="O39" s="16"/>
      <c r="P39" s="343"/>
      <c r="Q39" s="344"/>
      <c r="R39" s="341"/>
    </row>
    <row r="40" spans="1:18" x14ac:dyDescent="0.25">
      <c r="A40" s="273"/>
      <c r="B40" s="375"/>
      <c r="C40" s="375"/>
      <c r="D40" s="412"/>
      <c r="E40" s="151"/>
      <c r="F40" s="62" t="s">
        <v>408</v>
      </c>
      <c r="G40" s="63"/>
      <c r="H40" s="63"/>
      <c r="I40" s="63"/>
      <c r="J40" s="389"/>
      <c r="K40" s="389"/>
      <c r="L40" s="17" t="s">
        <v>85</v>
      </c>
      <c r="M40" s="353" t="s">
        <v>86</v>
      </c>
      <c r="N40" s="353"/>
      <c r="O40" s="17" t="s">
        <v>87</v>
      </c>
      <c r="P40" s="343"/>
      <c r="Q40" s="344"/>
      <c r="R40" s="341"/>
    </row>
    <row r="41" spans="1:18" x14ac:dyDescent="0.25">
      <c r="A41" s="273"/>
      <c r="B41" s="375"/>
      <c r="C41" s="375"/>
      <c r="D41" s="412"/>
      <c r="E41" s="347"/>
      <c r="F41" s="62"/>
      <c r="G41" s="63"/>
      <c r="H41" s="63"/>
      <c r="I41" s="63"/>
      <c r="J41" s="63"/>
      <c r="K41" s="63"/>
      <c r="L41" s="16"/>
      <c r="M41" s="351"/>
      <c r="N41" s="351"/>
      <c r="O41" s="16"/>
      <c r="P41" s="343"/>
      <c r="Q41" s="344"/>
      <c r="R41" s="341"/>
    </row>
    <row r="42" spans="1:18" x14ac:dyDescent="0.25">
      <c r="A42" s="273"/>
      <c r="B42" s="375"/>
      <c r="C42" s="375"/>
      <c r="D42" s="413"/>
      <c r="E42" s="348"/>
      <c r="F42" s="142"/>
      <c r="G42" s="65"/>
      <c r="H42" s="65"/>
      <c r="I42" s="65"/>
      <c r="J42" s="65"/>
      <c r="K42" s="65"/>
      <c r="L42" s="66" t="s">
        <v>92</v>
      </c>
      <c r="M42" s="351" t="s">
        <v>93</v>
      </c>
      <c r="N42" s="351"/>
      <c r="O42" s="67" t="s">
        <v>94</v>
      </c>
      <c r="P42" s="343"/>
      <c r="Q42" s="344"/>
      <c r="R42" s="341"/>
    </row>
    <row r="43" spans="1:18" x14ac:dyDescent="0.25">
      <c r="A43" s="273"/>
      <c r="B43" s="375"/>
      <c r="C43" s="375"/>
      <c r="D43" s="411" t="s">
        <v>95</v>
      </c>
      <c r="E43" s="349"/>
      <c r="F43" s="141"/>
      <c r="G43" s="61"/>
      <c r="H43" s="61"/>
      <c r="I43" s="61"/>
      <c r="J43" s="61"/>
      <c r="K43" s="61"/>
      <c r="L43" s="61"/>
      <c r="M43" s="350"/>
      <c r="N43" s="350"/>
      <c r="O43" s="158"/>
      <c r="P43" s="343"/>
      <c r="Q43" s="344"/>
      <c r="R43" s="341">
        <f>helper_ENERGIETECHNIK!$B$22</f>
        <v>2</v>
      </c>
    </row>
    <row r="44" spans="1:18" x14ac:dyDescent="0.25">
      <c r="A44" s="273"/>
      <c r="B44" s="375"/>
      <c r="C44" s="375"/>
      <c r="D44" s="412"/>
      <c r="E44" s="347"/>
      <c r="F44" s="62"/>
      <c r="G44" s="63" t="s">
        <v>101</v>
      </c>
      <c r="H44" s="63"/>
      <c r="I44" s="63"/>
      <c r="J44" s="63"/>
      <c r="K44" s="63"/>
      <c r="L44" s="63"/>
      <c r="M44" s="345"/>
      <c r="N44" s="346"/>
      <c r="O44" s="60" t="s">
        <v>485</v>
      </c>
      <c r="P44" s="343"/>
      <c r="Q44" s="344"/>
      <c r="R44" s="341"/>
    </row>
    <row r="45" spans="1:18" x14ac:dyDescent="0.25">
      <c r="A45" s="273"/>
      <c r="B45" s="375"/>
      <c r="C45" s="375"/>
      <c r="D45" s="412"/>
      <c r="E45" s="151"/>
      <c r="F45" s="62" t="s">
        <v>408</v>
      </c>
      <c r="G45" s="63" t="s">
        <v>102</v>
      </c>
      <c r="H45" s="63"/>
      <c r="I45" s="63"/>
      <c r="J45" s="63"/>
      <c r="K45" s="63"/>
      <c r="L45" s="63"/>
      <c r="M45" s="345"/>
      <c r="N45" s="346"/>
      <c r="O45" s="60" t="s">
        <v>104</v>
      </c>
      <c r="P45" s="343"/>
      <c r="Q45" s="344"/>
      <c r="R45" s="341"/>
    </row>
    <row r="46" spans="1:18" x14ac:dyDescent="0.25">
      <c r="A46" s="273"/>
      <c r="B46" s="375"/>
      <c r="C46" s="375"/>
      <c r="D46" s="412"/>
      <c r="E46" s="347"/>
      <c r="F46" s="62"/>
      <c r="G46" s="63" t="s">
        <v>103</v>
      </c>
      <c r="H46" s="63"/>
      <c r="I46" s="63"/>
      <c r="J46" s="63"/>
      <c r="K46" s="63"/>
      <c r="L46" s="63"/>
      <c r="M46" s="351"/>
      <c r="N46" s="351"/>
      <c r="O46" s="16"/>
      <c r="P46" s="343"/>
      <c r="Q46" s="344"/>
      <c r="R46" s="341"/>
    </row>
    <row r="47" spans="1:18" x14ac:dyDescent="0.25">
      <c r="A47" s="273"/>
      <c r="B47" s="375"/>
      <c r="C47" s="375"/>
      <c r="D47" s="413"/>
      <c r="E47" s="348"/>
      <c r="F47" s="142"/>
      <c r="G47" s="65"/>
      <c r="H47" s="65"/>
      <c r="I47" s="65"/>
      <c r="J47" s="65"/>
      <c r="K47" s="65"/>
      <c r="L47" s="64"/>
      <c r="M47" s="352" t="s">
        <v>105</v>
      </c>
      <c r="N47" s="352"/>
      <c r="O47" s="67" t="s">
        <v>106</v>
      </c>
      <c r="P47" s="343"/>
      <c r="Q47" s="344"/>
      <c r="R47" s="341"/>
    </row>
    <row r="48" spans="1:18" x14ac:dyDescent="0.25">
      <c r="A48" s="273"/>
      <c r="B48" s="375"/>
      <c r="C48" s="375"/>
      <c r="D48" s="411" t="s">
        <v>96</v>
      </c>
      <c r="E48" s="349"/>
      <c r="F48" s="70"/>
      <c r="G48" s="6"/>
      <c r="H48" s="6"/>
      <c r="I48" s="6"/>
      <c r="J48" s="6"/>
      <c r="K48" s="6"/>
      <c r="L48" s="6"/>
      <c r="M48" s="6"/>
      <c r="N48" s="6"/>
      <c r="O48" s="6"/>
      <c r="P48" s="343"/>
      <c r="Q48" s="344"/>
      <c r="R48" s="342">
        <f>helper_ENERGIETECHNIK!$B$24</f>
        <v>2</v>
      </c>
    </row>
    <row r="49" spans="1:18" x14ac:dyDescent="0.25">
      <c r="A49" s="273"/>
      <c r="B49" s="375"/>
      <c r="C49" s="375"/>
      <c r="D49" s="412"/>
      <c r="E49" s="347"/>
      <c r="F49" s="71"/>
      <c r="G49" s="63" t="s">
        <v>112</v>
      </c>
      <c r="H49" s="6"/>
      <c r="I49" s="6"/>
      <c r="J49" s="6"/>
      <c r="K49" s="6"/>
      <c r="L49" s="416"/>
      <c r="M49" s="417"/>
      <c r="N49" s="417"/>
      <c r="O49" s="417"/>
      <c r="P49" s="343"/>
      <c r="Q49" s="344"/>
      <c r="R49" s="342"/>
    </row>
    <row r="50" spans="1:18" x14ac:dyDescent="0.25">
      <c r="A50" s="273"/>
      <c r="B50" s="375"/>
      <c r="C50" s="375"/>
      <c r="D50" s="412"/>
      <c r="E50" s="151"/>
      <c r="F50" s="71" t="s">
        <v>408</v>
      </c>
      <c r="G50" s="63" t="s">
        <v>113</v>
      </c>
      <c r="H50" s="6"/>
      <c r="I50" s="6"/>
      <c r="J50" s="6"/>
      <c r="K50" s="6"/>
      <c r="L50" s="6"/>
      <c r="M50" s="345"/>
      <c r="N50" s="383"/>
      <c r="O50" s="383"/>
      <c r="P50" s="343"/>
      <c r="Q50" s="344"/>
      <c r="R50" s="342"/>
    </row>
    <row r="51" spans="1:18" x14ac:dyDescent="0.25">
      <c r="A51" s="273"/>
      <c r="B51" s="375"/>
      <c r="C51" s="375"/>
      <c r="D51" s="412"/>
      <c r="E51" s="152"/>
      <c r="F51" s="71" t="s">
        <v>409</v>
      </c>
      <c r="G51" s="63" t="s">
        <v>114</v>
      </c>
      <c r="H51" s="6"/>
      <c r="I51" s="6"/>
      <c r="J51" s="6"/>
      <c r="K51" s="6"/>
      <c r="L51" s="6"/>
      <c r="M51" s="345"/>
      <c r="N51" s="383"/>
      <c r="O51" s="383"/>
      <c r="P51" s="343"/>
      <c r="Q51" s="344"/>
      <c r="R51" s="342"/>
    </row>
    <row r="52" spans="1:18" x14ac:dyDescent="0.25">
      <c r="A52" s="273"/>
      <c r="B52" s="375"/>
      <c r="C52" s="375"/>
      <c r="D52" s="413"/>
      <c r="E52" s="153"/>
      <c r="F52" s="72"/>
      <c r="G52" s="6"/>
      <c r="H52" s="6"/>
      <c r="I52" s="6"/>
      <c r="J52" s="6"/>
      <c r="K52" s="6"/>
      <c r="L52" s="6"/>
      <c r="M52" s="6"/>
      <c r="N52" s="6"/>
      <c r="O52" s="6"/>
      <c r="P52" s="343"/>
      <c r="Q52" s="344"/>
      <c r="R52" s="342"/>
    </row>
    <row r="53" spans="1:18" x14ac:dyDescent="0.25">
      <c r="A53" s="273"/>
      <c r="B53" s="375"/>
      <c r="C53" s="375"/>
      <c r="D53" s="360" t="s">
        <v>97</v>
      </c>
      <c r="E53" s="349"/>
      <c r="F53" s="141"/>
      <c r="G53" s="61"/>
      <c r="H53" s="61"/>
      <c r="I53" s="61"/>
      <c r="J53" s="61"/>
      <c r="K53" s="61"/>
      <c r="L53" s="61"/>
      <c r="M53" s="350"/>
      <c r="N53" s="350"/>
      <c r="O53" s="61"/>
      <c r="P53" s="343"/>
      <c r="Q53" s="344"/>
      <c r="R53" s="341">
        <f>helper_ENERGIETECHNIK!$B$25</f>
        <v>2</v>
      </c>
    </row>
    <row r="54" spans="1:18" x14ac:dyDescent="0.25">
      <c r="A54" s="273"/>
      <c r="B54" s="375"/>
      <c r="C54" s="375"/>
      <c r="D54" s="361"/>
      <c r="E54" s="347"/>
      <c r="F54" s="62"/>
      <c r="G54" s="63" t="s">
        <v>109</v>
      </c>
      <c r="H54" s="63"/>
      <c r="I54" s="63"/>
      <c r="J54" s="63"/>
      <c r="K54" s="63"/>
      <c r="L54" s="63"/>
      <c r="M54" s="351"/>
      <c r="N54" s="351"/>
      <c r="O54" s="16"/>
      <c r="P54" s="343"/>
      <c r="Q54" s="344"/>
      <c r="R54" s="341"/>
    </row>
    <row r="55" spans="1:18" x14ac:dyDescent="0.25">
      <c r="A55" s="273"/>
      <c r="B55" s="375"/>
      <c r="C55" s="375"/>
      <c r="D55" s="361"/>
      <c r="E55" s="151"/>
      <c r="F55" s="71" t="s">
        <v>409</v>
      </c>
      <c r="G55" s="63"/>
      <c r="H55" s="63"/>
      <c r="I55" s="63"/>
      <c r="J55" s="389"/>
      <c r="K55" s="389"/>
      <c r="L55" s="69"/>
      <c r="M55" s="353" t="s">
        <v>110</v>
      </c>
      <c r="N55" s="353"/>
      <c r="O55" s="17" t="s">
        <v>111</v>
      </c>
      <c r="P55" s="343"/>
      <c r="Q55" s="344"/>
      <c r="R55" s="341"/>
    </row>
    <row r="56" spans="1:18" x14ac:dyDescent="0.25">
      <c r="A56" s="273"/>
      <c r="B56" s="375"/>
      <c r="C56" s="375"/>
      <c r="D56" s="361"/>
      <c r="E56" s="347"/>
      <c r="F56" s="62"/>
      <c r="G56" s="63" t="s">
        <v>108</v>
      </c>
      <c r="H56" s="63"/>
      <c r="I56" s="63"/>
      <c r="J56" s="63"/>
      <c r="K56" s="63"/>
      <c r="L56" s="63"/>
      <c r="M56" s="345"/>
      <c r="N56" s="346"/>
      <c r="O56" s="63" t="s">
        <v>75</v>
      </c>
      <c r="P56" s="343"/>
      <c r="Q56" s="344"/>
      <c r="R56" s="341"/>
    </row>
    <row r="57" spans="1:18" x14ac:dyDescent="0.25">
      <c r="A57" s="273"/>
      <c r="B57" s="375"/>
      <c r="C57" s="375"/>
      <c r="D57" s="361"/>
      <c r="E57" s="347"/>
      <c r="F57" s="62"/>
      <c r="G57" s="63"/>
      <c r="H57" s="63"/>
      <c r="I57" s="63"/>
      <c r="J57" s="63"/>
      <c r="K57" s="63"/>
      <c r="L57" s="59"/>
      <c r="M57" s="389"/>
      <c r="N57" s="389"/>
      <c r="O57" s="69"/>
      <c r="P57" s="343"/>
      <c r="Q57" s="344"/>
      <c r="R57" s="341"/>
    </row>
    <row r="58" spans="1:18" x14ac:dyDescent="0.25">
      <c r="A58" s="273"/>
      <c r="B58" s="375"/>
      <c r="C58" s="375"/>
      <c r="D58" s="360" t="s">
        <v>98</v>
      </c>
      <c r="E58" s="349"/>
      <c r="F58" s="141"/>
      <c r="G58" s="61"/>
      <c r="H58" s="61"/>
      <c r="I58" s="61"/>
      <c r="J58" s="61"/>
      <c r="K58" s="61"/>
      <c r="L58" s="61"/>
      <c r="M58" s="350"/>
      <c r="N58" s="350"/>
      <c r="O58" s="68"/>
      <c r="P58" s="343"/>
      <c r="Q58" s="344"/>
      <c r="R58" s="341">
        <f>helper_ENERGIETECHNIK!$B$27</f>
        <v>2</v>
      </c>
    </row>
    <row r="59" spans="1:18" x14ac:dyDescent="0.25">
      <c r="A59" s="273"/>
      <c r="B59" s="375"/>
      <c r="C59" s="375"/>
      <c r="D59" s="361"/>
      <c r="E59" s="347"/>
      <c r="F59" s="62"/>
      <c r="G59" s="63" t="s">
        <v>108</v>
      </c>
      <c r="H59" s="63"/>
      <c r="I59" s="63"/>
      <c r="J59" s="63"/>
      <c r="K59" s="63"/>
      <c r="L59" s="63"/>
      <c r="M59" s="345"/>
      <c r="N59" s="346"/>
      <c r="O59" s="60" t="s">
        <v>75</v>
      </c>
      <c r="P59" s="343"/>
      <c r="Q59" s="344"/>
      <c r="R59" s="341"/>
    </row>
    <row r="60" spans="1:18" x14ac:dyDescent="0.25">
      <c r="A60" s="273"/>
      <c r="B60" s="375"/>
      <c r="C60" s="375"/>
      <c r="D60" s="361"/>
      <c r="E60" s="151"/>
      <c r="F60" s="71" t="s">
        <v>409</v>
      </c>
      <c r="G60" s="63" t="s">
        <v>484</v>
      </c>
      <c r="H60" s="63"/>
      <c r="I60" s="63"/>
      <c r="J60" s="63"/>
      <c r="K60" s="63"/>
      <c r="L60" s="69"/>
      <c r="M60" s="345"/>
      <c r="N60" s="346"/>
      <c r="O60" s="62" t="s">
        <v>43</v>
      </c>
      <c r="P60" s="343"/>
      <c r="Q60" s="344"/>
      <c r="R60" s="341"/>
    </row>
    <row r="61" spans="1:18" x14ac:dyDescent="0.25">
      <c r="A61" s="273"/>
      <c r="B61" s="375"/>
      <c r="C61" s="375"/>
      <c r="D61" s="361"/>
      <c r="E61" s="347"/>
      <c r="F61" s="62"/>
      <c r="G61" s="63" t="s">
        <v>107</v>
      </c>
      <c r="H61" s="63"/>
      <c r="I61" s="63"/>
      <c r="J61" s="63"/>
      <c r="K61" s="63"/>
      <c r="L61" s="63"/>
      <c r="M61" s="351"/>
      <c r="N61" s="351"/>
      <c r="O61" s="16"/>
      <c r="P61" s="343"/>
      <c r="Q61" s="344"/>
      <c r="R61" s="341"/>
    </row>
    <row r="62" spans="1:18" x14ac:dyDescent="0.25">
      <c r="A62" s="273"/>
      <c r="B62" s="375"/>
      <c r="C62" s="375"/>
      <c r="D62" s="362"/>
      <c r="E62" s="348"/>
      <c r="F62" s="142"/>
      <c r="G62" s="65"/>
      <c r="H62" s="65"/>
      <c r="I62" s="65"/>
      <c r="J62" s="65"/>
      <c r="K62" s="65"/>
      <c r="L62" s="64"/>
      <c r="M62" s="352" t="s">
        <v>105</v>
      </c>
      <c r="N62" s="352"/>
      <c r="O62" s="67" t="s">
        <v>106</v>
      </c>
      <c r="P62" s="343"/>
      <c r="Q62" s="344"/>
      <c r="R62" s="341"/>
    </row>
    <row r="63" spans="1:18" ht="15" customHeight="1" x14ac:dyDescent="0.25">
      <c r="A63" s="273"/>
      <c r="B63" s="375"/>
      <c r="C63" s="375"/>
      <c r="D63" s="360" t="s">
        <v>99</v>
      </c>
      <c r="E63" s="349"/>
      <c r="F63" s="141"/>
      <c r="G63" s="61"/>
      <c r="H63" s="61"/>
      <c r="I63" s="61"/>
      <c r="J63" s="61"/>
      <c r="K63" s="61"/>
      <c r="L63" s="61"/>
      <c r="M63" s="350"/>
      <c r="N63" s="350"/>
      <c r="O63" s="157"/>
      <c r="P63" s="343"/>
      <c r="Q63" s="344"/>
      <c r="R63" s="341">
        <f>helper_ENERGIETECHNIK!$B$29</f>
        <v>2</v>
      </c>
    </row>
    <row r="64" spans="1:18" x14ac:dyDescent="0.25">
      <c r="A64" s="273"/>
      <c r="B64" s="375"/>
      <c r="C64" s="375"/>
      <c r="D64" s="361"/>
      <c r="E64" s="347"/>
      <c r="F64" s="62"/>
      <c r="G64" s="63" t="s">
        <v>101</v>
      </c>
      <c r="H64" s="63"/>
      <c r="I64" s="63"/>
      <c r="J64" s="63"/>
      <c r="K64" s="63"/>
      <c r="L64" s="156"/>
      <c r="M64" s="345"/>
      <c r="N64" s="346"/>
      <c r="O64" s="60" t="s">
        <v>485</v>
      </c>
      <c r="P64" s="343"/>
      <c r="Q64" s="344"/>
      <c r="R64" s="341"/>
    </row>
    <row r="65" spans="1:18" x14ac:dyDescent="0.25">
      <c r="A65" s="273"/>
      <c r="B65" s="375"/>
      <c r="C65" s="375"/>
      <c r="D65" s="361"/>
      <c r="E65" s="151"/>
      <c r="F65" s="71" t="s">
        <v>409</v>
      </c>
      <c r="G65" s="63" t="s">
        <v>102</v>
      </c>
      <c r="H65" s="63"/>
      <c r="I65" s="63"/>
      <c r="J65" s="63"/>
      <c r="K65" s="63"/>
      <c r="L65" s="63"/>
      <c r="M65" s="345"/>
      <c r="N65" s="346"/>
      <c r="O65" s="60" t="s">
        <v>104</v>
      </c>
      <c r="P65" s="343"/>
      <c r="Q65" s="344"/>
      <c r="R65" s="341"/>
    </row>
    <row r="66" spans="1:18" x14ac:dyDescent="0.25">
      <c r="A66" s="273"/>
      <c r="B66" s="375"/>
      <c r="C66" s="375"/>
      <c r="D66" s="361"/>
      <c r="E66" s="347"/>
      <c r="F66" s="62"/>
      <c r="G66" s="63" t="s">
        <v>103</v>
      </c>
      <c r="H66" s="63"/>
      <c r="I66" s="63"/>
      <c r="J66" s="63"/>
      <c r="K66" s="63"/>
      <c r="L66" s="63"/>
      <c r="M66" s="351"/>
      <c r="N66" s="351"/>
      <c r="O66" s="16"/>
      <c r="P66" s="343"/>
      <c r="Q66" s="344"/>
      <c r="R66" s="341"/>
    </row>
    <row r="67" spans="1:18" x14ac:dyDescent="0.25">
      <c r="A67" s="274"/>
      <c r="B67" s="376"/>
      <c r="C67" s="376"/>
      <c r="D67" s="362"/>
      <c r="E67" s="348"/>
      <c r="F67" s="142"/>
      <c r="G67" s="65"/>
      <c r="H67" s="65"/>
      <c r="I67" s="65"/>
      <c r="J67" s="65"/>
      <c r="K67" s="65"/>
      <c r="L67" s="64"/>
      <c r="M67" s="352" t="s">
        <v>105</v>
      </c>
      <c r="N67" s="352"/>
      <c r="O67" s="67" t="s">
        <v>106</v>
      </c>
      <c r="P67" s="343"/>
      <c r="Q67" s="344"/>
      <c r="R67" s="341"/>
    </row>
    <row r="68" spans="1:18" x14ac:dyDescent="0.25">
      <c r="A68" s="302" t="s">
        <v>137</v>
      </c>
      <c r="B68" s="302"/>
      <c r="C68" s="302"/>
      <c r="D68" s="302"/>
      <c r="E68" s="302"/>
      <c r="F68" s="302"/>
      <c r="G68" s="302"/>
      <c r="H68" s="302"/>
      <c r="I68" s="302"/>
      <c r="J68" s="302"/>
      <c r="K68" s="302"/>
      <c r="L68" s="302"/>
      <c r="M68" s="302"/>
      <c r="N68" s="302"/>
      <c r="O68" s="302"/>
      <c r="P68" s="302"/>
      <c r="Q68" s="302"/>
      <c r="R68" s="302"/>
    </row>
    <row r="69" spans="1:18" ht="11.25" customHeight="1" x14ac:dyDescent="0.25">
      <c r="A69" s="311"/>
      <c r="B69" s="311"/>
      <c r="C69" s="311"/>
      <c r="D69" s="311"/>
      <c r="E69" s="311"/>
      <c r="F69" s="311"/>
      <c r="G69" s="311"/>
      <c r="H69" s="311"/>
      <c r="I69" s="311"/>
      <c r="J69" s="311"/>
      <c r="K69" s="311"/>
      <c r="L69" s="311"/>
      <c r="M69" s="311"/>
      <c r="N69" s="311"/>
      <c r="O69" s="311"/>
      <c r="P69" s="311"/>
      <c r="Q69" s="311"/>
      <c r="R69" s="6"/>
    </row>
    <row r="70" spans="1:18" ht="15" customHeight="1" x14ac:dyDescent="0.25">
      <c r="A70" s="272" t="s">
        <v>116</v>
      </c>
      <c r="B70" s="259"/>
      <c r="C70" s="259"/>
      <c r="D70" s="259"/>
      <c r="E70" s="259" t="s">
        <v>117</v>
      </c>
      <c r="F70" s="259"/>
      <c r="G70" s="259"/>
      <c r="H70" s="259"/>
      <c r="I70" s="259"/>
      <c r="J70" s="329" t="s">
        <v>406</v>
      </c>
      <c r="K70" s="329"/>
      <c r="L70" s="329"/>
      <c r="M70" s="329" t="s">
        <v>414</v>
      </c>
      <c r="N70" s="329"/>
      <c r="O70" s="329"/>
      <c r="P70" s="259" t="s">
        <v>118</v>
      </c>
      <c r="Q70" s="260"/>
      <c r="R70" s="6"/>
    </row>
    <row r="71" spans="1:18" x14ac:dyDescent="0.25">
      <c r="A71" s="273"/>
      <c r="B71" s="262"/>
      <c r="C71" s="262"/>
      <c r="D71" s="262"/>
      <c r="E71" s="18" t="s">
        <v>18</v>
      </c>
      <c r="F71" s="13" t="s">
        <v>19</v>
      </c>
      <c r="G71" s="262" t="s">
        <v>122</v>
      </c>
      <c r="H71" s="262"/>
      <c r="I71" s="262"/>
      <c r="J71" s="330"/>
      <c r="K71" s="330"/>
      <c r="L71" s="330"/>
      <c r="M71" s="330"/>
      <c r="N71" s="330"/>
      <c r="O71" s="331"/>
      <c r="P71" s="262"/>
      <c r="Q71" s="263"/>
      <c r="R71" s="6"/>
    </row>
    <row r="72" spans="1:18" ht="38.25" customHeight="1" x14ac:dyDescent="0.25">
      <c r="A72" s="273"/>
      <c r="B72" s="336" t="s">
        <v>471</v>
      </c>
      <c r="C72" s="336"/>
      <c r="D72" s="336"/>
      <c r="E72" s="73"/>
      <c r="F72" s="84"/>
      <c r="G72" s="248"/>
      <c r="H72" s="249"/>
      <c r="I72" s="250"/>
      <c r="J72" s="332"/>
      <c r="K72" s="333"/>
      <c r="L72" s="334"/>
      <c r="M72" s="332"/>
      <c r="N72" s="334"/>
      <c r="O72" s="148" t="s">
        <v>407</v>
      </c>
      <c r="P72" s="48"/>
      <c r="Q72" s="85" t="s">
        <v>123</v>
      </c>
      <c r="R72" s="74">
        <f>helper_ENERGIETECHNIK!$B33</f>
        <v>0</v>
      </c>
    </row>
    <row r="73" spans="1:18" ht="38.25" customHeight="1" x14ac:dyDescent="0.25">
      <c r="A73" s="273"/>
      <c r="B73" s="328" t="s">
        <v>120</v>
      </c>
      <c r="C73" s="328"/>
      <c r="D73" s="328"/>
      <c r="E73" s="73"/>
      <c r="F73" s="84"/>
      <c r="G73" s="248"/>
      <c r="H73" s="249"/>
      <c r="I73" s="250"/>
      <c r="J73" s="332"/>
      <c r="K73" s="333"/>
      <c r="L73" s="334"/>
      <c r="M73" s="332"/>
      <c r="N73" s="334"/>
      <c r="O73" s="149" t="s">
        <v>407</v>
      </c>
      <c r="P73" s="48"/>
      <c r="Q73" s="85" t="s">
        <v>123</v>
      </c>
      <c r="R73" s="74">
        <f>helper_ENERGIETECHNIK!$B34</f>
        <v>0</v>
      </c>
    </row>
    <row r="74" spans="1:18" ht="38.25" customHeight="1" x14ac:dyDescent="0.25">
      <c r="A74" s="274"/>
      <c r="B74" s="86" t="s">
        <v>11</v>
      </c>
      <c r="C74" s="335" t="s">
        <v>121</v>
      </c>
      <c r="D74" s="335"/>
      <c r="E74" s="73"/>
      <c r="F74" s="87"/>
      <c r="G74" s="248"/>
      <c r="H74" s="249"/>
      <c r="I74" s="250"/>
      <c r="J74" s="332"/>
      <c r="K74" s="333"/>
      <c r="L74" s="334"/>
      <c r="M74" s="332"/>
      <c r="N74" s="334"/>
      <c r="O74" s="150" t="s">
        <v>407</v>
      </c>
      <c r="P74" s="48"/>
      <c r="Q74" s="88" t="s">
        <v>123</v>
      </c>
      <c r="R74" s="74">
        <f>helper_ENERGIETECHNIK!$B$35</f>
        <v>2</v>
      </c>
    </row>
    <row r="75" spans="1:18" x14ac:dyDescent="0.25">
      <c r="A75" s="311"/>
      <c r="B75" s="311"/>
      <c r="C75" s="311"/>
      <c r="D75" s="311"/>
      <c r="E75" s="311"/>
      <c r="F75" s="311"/>
      <c r="G75" s="311"/>
      <c r="H75" s="311"/>
      <c r="I75" s="311"/>
      <c r="J75" s="311"/>
      <c r="K75" s="311"/>
      <c r="L75" s="311"/>
      <c r="M75" s="311"/>
      <c r="N75" s="311"/>
      <c r="O75" s="311"/>
      <c r="P75" s="311"/>
      <c r="Q75" s="311"/>
      <c r="R75" s="311"/>
    </row>
    <row r="76" spans="1:18" x14ac:dyDescent="0.25">
      <c r="A76" s="272" t="s">
        <v>134</v>
      </c>
      <c r="B76" s="337" t="s">
        <v>389</v>
      </c>
      <c r="C76" s="337"/>
      <c r="D76" s="337"/>
      <c r="E76" s="337"/>
      <c r="F76" s="337"/>
      <c r="G76" s="337"/>
      <c r="H76" s="337"/>
      <c r="I76" s="337"/>
      <c r="J76" s="337"/>
      <c r="K76" s="337"/>
      <c r="L76" s="337"/>
      <c r="M76" s="337"/>
      <c r="N76" s="337"/>
      <c r="O76" s="337"/>
      <c r="P76" s="337"/>
      <c r="Q76" s="75"/>
      <c r="R76" s="6"/>
    </row>
    <row r="77" spans="1:18" ht="135" customHeight="1" x14ac:dyDescent="0.25">
      <c r="A77" s="274"/>
      <c r="B77" s="76" t="s">
        <v>11</v>
      </c>
      <c r="C77" s="338"/>
      <c r="D77" s="339"/>
      <c r="E77" s="339"/>
      <c r="F77" s="339"/>
      <c r="G77" s="339"/>
      <c r="H77" s="339"/>
      <c r="I77" s="339"/>
      <c r="J77" s="339"/>
      <c r="K77" s="339"/>
      <c r="L77" s="339"/>
      <c r="M77" s="339"/>
      <c r="N77" s="339"/>
      <c r="O77" s="339"/>
      <c r="P77" s="339"/>
      <c r="Q77" s="340"/>
      <c r="R77" s="6"/>
    </row>
    <row r="78" spans="1:18" ht="11.25" customHeight="1" x14ac:dyDescent="0.25">
      <c r="A78" s="6"/>
      <c r="B78" s="6"/>
      <c r="C78" s="6"/>
      <c r="D78" s="6"/>
      <c r="E78" s="6"/>
      <c r="F78" s="6"/>
      <c r="G78" s="6"/>
      <c r="H78" s="6"/>
      <c r="I78" s="6"/>
      <c r="J78" s="6"/>
      <c r="K78" s="6"/>
      <c r="L78" s="6"/>
      <c r="M78" s="6"/>
      <c r="N78" s="6"/>
      <c r="O78" s="6"/>
      <c r="P78" s="6"/>
      <c r="Q78" s="6"/>
      <c r="R78" s="6"/>
    </row>
    <row r="79" spans="1:18" x14ac:dyDescent="0.25">
      <c r="A79" s="272" t="s">
        <v>135</v>
      </c>
      <c r="B79" s="337" t="s">
        <v>390</v>
      </c>
      <c r="C79" s="337"/>
      <c r="D79" s="337"/>
      <c r="E79" s="337"/>
      <c r="F79" s="337"/>
      <c r="G79" s="337"/>
      <c r="H79" s="337"/>
      <c r="I79" s="337"/>
      <c r="J79" s="337"/>
      <c r="K79" s="337"/>
      <c r="L79" s="337"/>
      <c r="M79" s="337"/>
      <c r="N79" s="337"/>
      <c r="O79" s="337"/>
      <c r="P79" s="337"/>
      <c r="Q79" s="75"/>
      <c r="R79" s="6"/>
    </row>
    <row r="80" spans="1:18" ht="135" customHeight="1" x14ac:dyDescent="0.25">
      <c r="A80" s="274"/>
      <c r="B80" s="77" t="s">
        <v>11</v>
      </c>
      <c r="C80" s="338"/>
      <c r="D80" s="339"/>
      <c r="E80" s="339"/>
      <c r="F80" s="339"/>
      <c r="G80" s="339"/>
      <c r="H80" s="339"/>
      <c r="I80" s="339"/>
      <c r="J80" s="339"/>
      <c r="K80" s="339"/>
      <c r="L80" s="339"/>
      <c r="M80" s="339"/>
      <c r="N80" s="339"/>
      <c r="O80" s="339"/>
      <c r="P80" s="339"/>
      <c r="Q80" s="340"/>
      <c r="R80" s="6"/>
    </row>
    <row r="81" spans="1:18" ht="11.25" customHeight="1" x14ac:dyDescent="0.25">
      <c r="A81" s="6"/>
      <c r="B81" s="6"/>
      <c r="C81" s="6"/>
      <c r="D81" s="6"/>
      <c r="E81" s="6"/>
      <c r="F81" s="6"/>
      <c r="G81" s="6"/>
      <c r="H81" s="6"/>
      <c r="I81" s="6"/>
      <c r="J81" s="6"/>
      <c r="K81" s="6"/>
      <c r="L81" s="6"/>
      <c r="M81" s="6"/>
      <c r="N81" s="6"/>
      <c r="O81" s="6"/>
      <c r="P81" s="6"/>
      <c r="Q81" s="6"/>
      <c r="R81" s="6"/>
    </row>
    <row r="82" spans="1:18" x14ac:dyDescent="0.25">
      <c r="A82" s="272" t="s">
        <v>136</v>
      </c>
      <c r="B82" s="337" t="s">
        <v>139</v>
      </c>
      <c r="C82" s="337"/>
      <c r="D82" s="337"/>
      <c r="E82" s="337"/>
      <c r="F82" s="337"/>
      <c r="G82" s="337"/>
      <c r="H82" s="337"/>
      <c r="I82" s="337"/>
      <c r="J82" s="337"/>
      <c r="K82" s="337"/>
      <c r="L82" s="337"/>
      <c r="M82" s="337"/>
      <c r="N82" s="337"/>
      <c r="O82" s="337"/>
      <c r="P82" s="337"/>
      <c r="Q82" s="75"/>
      <c r="R82" s="6"/>
    </row>
    <row r="83" spans="1:18" ht="135.75" customHeight="1" x14ac:dyDescent="0.25">
      <c r="A83" s="274"/>
      <c r="B83" s="76" t="s">
        <v>11</v>
      </c>
      <c r="C83" s="338"/>
      <c r="D83" s="339"/>
      <c r="E83" s="339"/>
      <c r="F83" s="339"/>
      <c r="G83" s="339"/>
      <c r="H83" s="339"/>
      <c r="I83" s="339"/>
      <c r="J83" s="339"/>
      <c r="K83" s="339"/>
      <c r="L83" s="339"/>
      <c r="M83" s="339"/>
      <c r="N83" s="339"/>
      <c r="O83" s="339"/>
      <c r="P83" s="339"/>
      <c r="Q83" s="340"/>
      <c r="R83" s="6"/>
    </row>
    <row r="84" spans="1:18" ht="11.25" customHeight="1" x14ac:dyDescent="0.25">
      <c r="A84" s="6"/>
      <c r="B84" s="6"/>
      <c r="C84" s="6"/>
      <c r="D84" s="6"/>
      <c r="E84" s="6"/>
      <c r="F84" s="6"/>
      <c r="G84" s="6"/>
      <c r="H84" s="6"/>
      <c r="I84" s="6"/>
      <c r="J84" s="6"/>
      <c r="K84" s="6"/>
      <c r="L84" s="6"/>
      <c r="M84" s="6"/>
      <c r="N84" s="6"/>
      <c r="O84" s="6"/>
      <c r="P84" s="6"/>
      <c r="Q84" s="6"/>
      <c r="R84" s="6"/>
    </row>
  </sheetData>
  <sheetProtection algorithmName="SHA-512" hashValue="I0n68UuySZOcGTuUoI6JbzVmCcFFxg/7cpYV87S9qwA1qELWDuoWR0Aqmq9q8qoMblbQYNgjxqFE5ZBzq2i8tw==" saltValue="ziHGBG+2OXUeFzKmSJ9S4w==" spinCount="100000" sheet="1" selectLockedCells="1"/>
  <mergeCells count="163">
    <mergeCell ref="R24:R30"/>
    <mergeCell ref="P38:Q42"/>
    <mergeCell ref="D43:D47"/>
    <mergeCell ref="D48:D52"/>
    <mergeCell ref="E48:E49"/>
    <mergeCell ref="P53:Q57"/>
    <mergeCell ref="M54:N54"/>
    <mergeCell ref="J55:K55"/>
    <mergeCell ref="D63:D67"/>
    <mergeCell ref="M56:N56"/>
    <mergeCell ref="M57:N57"/>
    <mergeCell ref="P48:Q52"/>
    <mergeCell ref="P63:Q67"/>
    <mergeCell ref="M65:N65"/>
    <mergeCell ref="E66:E67"/>
    <mergeCell ref="M66:N66"/>
    <mergeCell ref="M67:N67"/>
    <mergeCell ref="M64:N64"/>
    <mergeCell ref="E53:E54"/>
    <mergeCell ref="M53:N53"/>
    <mergeCell ref="M61:N61"/>
    <mergeCell ref="M62:N62"/>
    <mergeCell ref="P37:Q37"/>
    <mergeCell ref="B36:O36"/>
    <mergeCell ref="G28:I28"/>
    <mergeCell ref="G29:I29"/>
    <mergeCell ref="G30:I30"/>
    <mergeCell ref="B37:D37"/>
    <mergeCell ref="E37:F37"/>
    <mergeCell ref="G37:O37"/>
    <mergeCell ref="D38:D42"/>
    <mergeCell ref="A35:Q35"/>
    <mergeCell ref="J30:K30"/>
    <mergeCell ref="A36:A67"/>
    <mergeCell ref="M50:O50"/>
    <mergeCell ref="M51:O51"/>
    <mergeCell ref="L49:O49"/>
    <mergeCell ref="E63:E64"/>
    <mergeCell ref="E38:E39"/>
    <mergeCell ref="E41:E42"/>
    <mergeCell ref="E43:E44"/>
    <mergeCell ref="K11:Q11"/>
    <mergeCell ref="K12:Q12"/>
    <mergeCell ref="H3:H12"/>
    <mergeCell ref="G26:I26"/>
    <mergeCell ref="A20:Q20"/>
    <mergeCell ref="I17:K17"/>
    <mergeCell ref="I18:K18"/>
    <mergeCell ref="A13:Q13"/>
    <mergeCell ref="A14:A19"/>
    <mergeCell ref="B14:H14"/>
    <mergeCell ref="I14:K14"/>
    <mergeCell ref="M14:Q14"/>
    <mergeCell ref="B15:H15"/>
    <mergeCell ref="B17:H17"/>
    <mergeCell ref="B18:H18"/>
    <mergeCell ref="G25:I25"/>
    <mergeCell ref="K7:Q7"/>
    <mergeCell ref="A21:A34"/>
    <mergeCell ref="C34:Q34"/>
    <mergeCell ref="B31:F31"/>
    <mergeCell ref="B32:F32"/>
    <mergeCell ref="G31:I31"/>
    <mergeCell ref="G32:I32"/>
    <mergeCell ref="J31:K31"/>
    <mergeCell ref="J24:K24"/>
    <mergeCell ref="O16:Q16"/>
    <mergeCell ref="O17:Q17"/>
    <mergeCell ref="O18:Q18"/>
    <mergeCell ref="I15:K15"/>
    <mergeCell ref="B16:H16"/>
    <mergeCell ref="I16:K16"/>
    <mergeCell ref="J27:K27"/>
    <mergeCell ref="B38:C67"/>
    <mergeCell ref="D53:D57"/>
    <mergeCell ref="E56:E57"/>
    <mergeCell ref="J32:K32"/>
    <mergeCell ref="C33:Q33"/>
    <mergeCell ref="B33:B34"/>
    <mergeCell ref="M59:N59"/>
    <mergeCell ref="M38:O38"/>
    <mergeCell ref="J28:K28"/>
    <mergeCell ref="J29:K29"/>
    <mergeCell ref="G27:I27"/>
    <mergeCell ref="M55:N55"/>
    <mergeCell ref="M44:N44"/>
    <mergeCell ref="M45:N45"/>
    <mergeCell ref="P36:Q36"/>
    <mergeCell ref="J40:K40"/>
    <mergeCell ref="A1:R1"/>
    <mergeCell ref="A70:A74"/>
    <mergeCell ref="A2:Q2"/>
    <mergeCell ref="K3:Q3"/>
    <mergeCell ref="K4:Q4"/>
    <mergeCell ref="B23:F23"/>
    <mergeCell ref="K9:Q9"/>
    <mergeCell ref="K10:Q10"/>
    <mergeCell ref="I3:I12"/>
    <mergeCell ref="A3:G12"/>
    <mergeCell ref="K5:Q5"/>
    <mergeCell ref="K6:Q6"/>
    <mergeCell ref="E70:I70"/>
    <mergeCell ref="K8:Q8"/>
    <mergeCell ref="B19:H19"/>
    <mergeCell ref="I19:K19"/>
    <mergeCell ref="O15:Q15"/>
    <mergeCell ref="D58:D62"/>
    <mergeCell ref="J25:K25"/>
    <mergeCell ref="J26:K26"/>
    <mergeCell ref="O19:Q19"/>
    <mergeCell ref="B21:Q21"/>
    <mergeCell ref="G23:K23"/>
    <mergeCell ref="G24:I24"/>
    <mergeCell ref="R38:R42"/>
    <mergeCell ref="R43:R47"/>
    <mergeCell ref="R48:R52"/>
    <mergeCell ref="R53:R57"/>
    <mergeCell ref="R58:R62"/>
    <mergeCell ref="R63:R67"/>
    <mergeCell ref="A69:Q69"/>
    <mergeCell ref="P43:Q47"/>
    <mergeCell ref="P58:Q62"/>
    <mergeCell ref="M60:N60"/>
    <mergeCell ref="E61:E62"/>
    <mergeCell ref="E58:E59"/>
    <mergeCell ref="M58:N58"/>
    <mergeCell ref="E46:E47"/>
    <mergeCell ref="M46:N46"/>
    <mergeCell ref="M47:N47"/>
    <mergeCell ref="M42:N42"/>
    <mergeCell ref="M39:N39"/>
    <mergeCell ref="M41:N41"/>
    <mergeCell ref="A68:R68"/>
    <mergeCell ref="M63:N63"/>
    <mergeCell ref="M43:N43"/>
    <mergeCell ref="M40:N40"/>
    <mergeCell ref="A75:R75"/>
    <mergeCell ref="A76:A77"/>
    <mergeCell ref="B76:P76"/>
    <mergeCell ref="A79:A80"/>
    <mergeCell ref="B79:P79"/>
    <mergeCell ref="A82:A83"/>
    <mergeCell ref="B82:P82"/>
    <mergeCell ref="C77:Q77"/>
    <mergeCell ref="C80:Q80"/>
    <mergeCell ref="C83:Q83"/>
    <mergeCell ref="P70:Q71"/>
    <mergeCell ref="G72:I72"/>
    <mergeCell ref="B73:D73"/>
    <mergeCell ref="G73:I73"/>
    <mergeCell ref="J70:L71"/>
    <mergeCell ref="M70:O71"/>
    <mergeCell ref="J72:L72"/>
    <mergeCell ref="J73:L73"/>
    <mergeCell ref="J74:L74"/>
    <mergeCell ref="M72:N72"/>
    <mergeCell ref="M73:N73"/>
    <mergeCell ref="M74:N74"/>
    <mergeCell ref="C74:D74"/>
    <mergeCell ref="G74:I74"/>
    <mergeCell ref="B72:D72"/>
    <mergeCell ref="G71:I71"/>
    <mergeCell ref="B70:D71"/>
  </mergeCells>
  <printOptions horizontalCentered="1"/>
  <pageMargins left="0.70866141732283472" right="0.70866141732283472" top="0.74803149606299213" bottom="0.74803149606299213" header="0.31496062992125984" footer="0.31496062992125984"/>
  <pageSetup paperSize="9" scale="77" fitToHeight="0" orientation="portrait" verticalDpi="0" r:id="rId1"/>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3" r:id="rId4" name="Check Box 11">
              <controlPr defaultSize="0" autoFill="0" autoLine="0" autoPict="0">
                <anchor moveWithCells="1">
                  <from>
                    <xdr:col>12</xdr:col>
                    <xdr:colOff>76200</xdr:colOff>
                    <xdr:row>13</xdr:row>
                    <xdr:rowOff>123825</xdr:rowOff>
                  </from>
                  <to>
                    <xdr:col>13</xdr:col>
                    <xdr:colOff>114300</xdr:colOff>
                    <xdr:row>15</xdr:row>
                    <xdr:rowOff>66675</xdr:rowOff>
                  </to>
                </anchor>
              </controlPr>
            </control>
          </mc:Choice>
        </mc:AlternateContent>
        <mc:AlternateContent xmlns:mc="http://schemas.openxmlformats.org/markup-compatibility/2006">
          <mc:Choice Requires="x14">
            <control shapeId="3084" r:id="rId5" name="Check Box 12">
              <controlPr defaultSize="0" autoFill="0" autoLine="0" autoPict="0">
                <anchor moveWithCells="1">
                  <from>
                    <xdr:col>12</xdr:col>
                    <xdr:colOff>76200</xdr:colOff>
                    <xdr:row>14</xdr:row>
                    <xdr:rowOff>219075</xdr:rowOff>
                  </from>
                  <to>
                    <xdr:col>13</xdr:col>
                    <xdr:colOff>114300</xdr:colOff>
                    <xdr:row>16</xdr:row>
                    <xdr:rowOff>66675</xdr:rowOff>
                  </to>
                </anchor>
              </controlPr>
            </control>
          </mc:Choice>
        </mc:AlternateContent>
        <mc:AlternateContent xmlns:mc="http://schemas.openxmlformats.org/markup-compatibility/2006">
          <mc:Choice Requires="x14">
            <control shapeId="3085" r:id="rId6" name="Check Box 13">
              <controlPr defaultSize="0" autoFill="0" autoLine="0" autoPict="0">
                <anchor moveWithCells="1">
                  <from>
                    <xdr:col>12</xdr:col>
                    <xdr:colOff>76200</xdr:colOff>
                    <xdr:row>15</xdr:row>
                    <xdr:rowOff>219075</xdr:rowOff>
                  </from>
                  <to>
                    <xdr:col>13</xdr:col>
                    <xdr:colOff>114300</xdr:colOff>
                    <xdr:row>17</xdr:row>
                    <xdr:rowOff>66675</xdr:rowOff>
                  </to>
                </anchor>
              </controlPr>
            </control>
          </mc:Choice>
        </mc:AlternateContent>
        <mc:AlternateContent xmlns:mc="http://schemas.openxmlformats.org/markup-compatibility/2006">
          <mc:Choice Requires="x14">
            <control shapeId="3086" r:id="rId7" name="Check Box 14">
              <controlPr defaultSize="0" autoFill="0" autoLine="0" autoPict="0">
                <anchor moveWithCells="1">
                  <from>
                    <xdr:col>12</xdr:col>
                    <xdr:colOff>76200</xdr:colOff>
                    <xdr:row>16</xdr:row>
                    <xdr:rowOff>219075</xdr:rowOff>
                  </from>
                  <to>
                    <xdr:col>13</xdr:col>
                    <xdr:colOff>114300</xdr:colOff>
                    <xdr:row>18</xdr:row>
                    <xdr:rowOff>66675</xdr:rowOff>
                  </to>
                </anchor>
              </controlPr>
            </control>
          </mc:Choice>
        </mc:AlternateContent>
        <mc:AlternateContent xmlns:mc="http://schemas.openxmlformats.org/markup-compatibility/2006">
          <mc:Choice Requires="x14">
            <control shapeId="3087" r:id="rId8" name="Check Box 15">
              <controlPr defaultSize="0" autoFill="0" autoLine="0" autoPict="0">
                <anchor moveWithCells="1">
                  <from>
                    <xdr:col>12</xdr:col>
                    <xdr:colOff>76200</xdr:colOff>
                    <xdr:row>17</xdr:row>
                    <xdr:rowOff>228600</xdr:rowOff>
                  </from>
                  <to>
                    <xdr:col>13</xdr:col>
                    <xdr:colOff>114300</xdr:colOff>
                    <xdr:row>19</xdr:row>
                    <xdr:rowOff>76200</xdr:rowOff>
                  </to>
                </anchor>
              </controlPr>
            </control>
          </mc:Choice>
        </mc:AlternateContent>
        <mc:AlternateContent xmlns:mc="http://schemas.openxmlformats.org/markup-compatibility/2006">
          <mc:Choice Requires="x14">
            <control shapeId="3091" r:id="rId9" name="Check Box 19">
              <controlPr defaultSize="0" autoFill="0" autoLine="0" autoPict="0">
                <anchor moveWithCells="1">
                  <from>
                    <xdr:col>12</xdr:col>
                    <xdr:colOff>228600</xdr:colOff>
                    <xdr:row>44</xdr:row>
                    <xdr:rowOff>161925</xdr:rowOff>
                  </from>
                  <to>
                    <xdr:col>13</xdr:col>
                    <xdr:colOff>123825</xdr:colOff>
                    <xdr:row>46</xdr:row>
                    <xdr:rowOff>104775</xdr:rowOff>
                  </to>
                </anchor>
              </controlPr>
            </control>
          </mc:Choice>
        </mc:AlternateContent>
        <mc:AlternateContent xmlns:mc="http://schemas.openxmlformats.org/markup-compatibility/2006">
          <mc:Choice Requires="x14">
            <control shapeId="3092" r:id="rId10" name="Check Box 20">
              <controlPr defaultSize="0" autoFill="0" autoLine="0" autoPict="0">
                <anchor moveWithCells="1">
                  <from>
                    <xdr:col>14</xdr:col>
                    <xdr:colOff>228600</xdr:colOff>
                    <xdr:row>44</xdr:row>
                    <xdr:rowOff>180975</xdr:rowOff>
                  </from>
                  <to>
                    <xdr:col>14</xdr:col>
                    <xdr:colOff>457200</xdr:colOff>
                    <xdr:row>46</xdr:row>
                    <xdr:rowOff>104775</xdr:rowOff>
                  </to>
                </anchor>
              </controlPr>
            </control>
          </mc:Choice>
        </mc:AlternateContent>
        <mc:AlternateContent xmlns:mc="http://schemas.openxmlformats.org/markup-compatibility/2006">
          <mc:Choice Requires="x14">
            <control shapeId="3109" r:id="rId11" name="Check Box 37">
              <controlPr defaultSize="0" autoFill="0" autoLine="0" autoPict="0">
                <anchor moveWithCells="1">
                  <from>
                    <xdr:col>12</xdr:col>
                    <xdr:colOff>228600</xdr:colOff>
                    <xdr:row>64</xdr:row>
                    <xdr:rowOff>180975</xdr:rowOff>
                  </from>
                  <to>
                    <xdr:col>13</xdr:col>
                    <xdr:colOff>123825</xdr:colOff>
                    <xdr:row>66</xdr:row>
                    <xdr:rowOff>114300</xdr:rowOff>
                  </to>
                </anchor>
              </controlPr>
            </control>
          </mc:Choice>
        </mc:AlternateContent>
        <mc:AlternateContent xmlns:mc="http://schemas.openxmlformats.org/markup-compatibility/2006">
          <mc:Choice Requires="x14">
            <control shapeId="3110" r:id="rId12" name="Check Box 38">
              <controlPr defaultSize="0" autoFill="0" autoLine="0" autoPict="0">
                <anchor moveWithCells="1">
                  <from>
                    <xdr:col>14</xdr:col>
                    <xdr:colOff>228600</xdr:colOff>
                    <xdr:row>64</xdr:row>
                    <xdr:rowOff>180975</xdr:rowOff>
                  </from>
                  <to>
                    <xdr:col>14</xdr:col>
                    <xdr:colOff>457200</xdr:colOff>
                    <xdr:row>66</xdr:row>
                    <xdr:rowOff>114300</xdr:rowOff>
                  </to>
                </anchor>
              </controlPr>
            </control>
          </mc:Choice>
        </mc:AlternateContent>
        <mc:AlternateContent xmlns:mc="http://schemas.openxmlformats.org/markup-compatibility/2006">
          <mc:Choice Requires="x14">
            <control shapeId="3111" r:id="rId13" name="Check Box 39">
              <controlPr defaultSize="0" autoFill="0" autoLine="0" autoPict="0">
                <anchor moveWithCells="1">
                  <from>
                    <xdr:col>12</xdr:col>
                    <xdr:colOff>228600</xdr:colOff>
                    <xdr:row>59</xdr:row>
                    <xdr:rowOff>180975</xdr:rowOff>
                  </from>
                  <to>
                    <xdr:col>13</xdr:col>
                    <xdr:colOff>123825</xdr:colOff>
                    <xdr:row>61</xdr:row>
                    <xdr:rowOff>114300</xdr:rowOff>
                  </to>
                </anchor>
              </controlPr>
            </control>
          </mc:Choice>
        </mc:AlternateContent>
        <mc:AlternateContent xmlns:mc="http://schemas.openxmlformats.org/markup-compatibility/2006">
          <mc:Choice Requires="x14">
            <control shapeId="3112" r:id="rId14" name="Check Box 40">
              <controlPr defaultSize="0" autoFill="0" autoLine="0" autoPict="0">
                <anchor moveWithCells="1">
                  <from>
                    <xdr:col>14</xdr:col>
                    <xdr:colOff>228600</xdr:colOff>
                    <xdr:row>59</xdr:row>
                    <xdr:rowOff>180975</xdr:rowOff>
                  </from>
                  <to>
                    <xdr:col>14</xdr:col>
                    <xdr:colOff>457200</xdr:colOff>
                    <xdr:row>61</xdr:row>
                    <xdr:rowOff>114300</xdr:rowOff>
                  </to>
                </anchor>
              </controlPr>
            </control>
          </mc:Choice>
        </mc:AlternateContent>
        <mc:AlternateContent xmlns:mc="http://schemas.openxmlformats.org/markup-compatibility/2006">
          <mc:Choice Requires="x14">
            <control shapeId="3142" r:id="rId15" name="Group Box 70">
              <controlPr defaultSize="0" autoFill="0" autoPict="0">
                <anchor moveWithCells="1">
                  <from>
                    <xdr:col>8</xdr:col>
                    <xdr:colOff>0</xdr:colOff>
                    <xdr:row>13</xdr:row>
                    <xdr:rowOff>190500</xdr:rowOff>
                  </from>
                  <to>
                    <xdr:col>11</xdr:col>
                    <xdr:colOff>600075</xdr:colOff>
                    <xdr:row>15</xdr:row>
                    <xdr:rowOff>0</xdr:rowOff>
                  </to>
                </anchor>
              </controlPr>
            </control>
          </mc:Choice>
        </mc:AlternateContent>
        <mc:AlternateContent xmlns:mc="http://schemas.openxmlformats.org/markup-compatibility/2006">
          <mc:Choice Requires="x14">
            <control shapeId="3148" r:id="rId16" name="Option Button 76">
              <controlPr defaultSize="0" autoFill="0" autoLine="0" autoPict="0">
                <anchor moveWithCells="1">
                  <from>
                    <xdr:col>8</xdr:col>
                    <xdr:colOff>323850</xdr:colOff>
                    <xdr:row>14</xdr:row>
                    <xdr:rowOff>66675</xdr:rowOff>
                  </from>
                  <to>
                    <xdr:col>10</xdr:col>
                    <xdr:colOff>28575</xdr:colOff>
                    <xdr:row>14</xdr:row>
                    <xdr:rowOff>228600</xdr:rowOff>
                  </to>
                </anchor>
              </controlPr>
            </control>
          </mc:Choice>
        </mc:AlternateContent>
        <mc:AlternateContent xmlns:mc="http://schemas.openxmlformats.org/markup-compatibility/2006">
          <mc:Choice Requires="x14">
            <control shapeId="3149" r:id="rId17" name="Option Button 77">
              <controlPr defaultSize="0" autoFill="0" autoLine="0" autoPict="0">
                <anchor moveWithCells="1">
                  <from>
                    <xdr:col>11</xdr:col>
                    <xdr:colOff>152400</xdr:colOff>
                    <xdr:row>14</xdr:row>
                    <xdr:rowOff>66675</xdr:rowOff>
                  </from>
                  <to>
                    <xdr:col>11</xdr:col>
                    <xdr:colOff>504825</xdr:colOff>
                    <xdr:row>14</xdr:row>
                    <xdr:rowOff>228600</xdr:rowOff>
                  </to>
                </anchor>
              </controlPr>
            </control>
          </mc:Choice>
        </mc:AlternateContent>
        <mc:AlternateContent xmlns:mc="http://schemas.openxmlformats.org/markup-compatibility/2006">
          <mc:Choice Requires="x14">
            <control shapeId="3151" r:id="rId18" name="Group Box 79">
              <controlPr defaultSize="0" autoFill="0" autoPict="0">
                <anchor moveWithCells="1">
                  <from>
                    <xdr:col>7</xdr:col>
                    <xdr:colOff>114300</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3152" r:id="rId19" name="Option Button 80">
              <controlPr defaultSize="0" autoFill="0" autoLine="0" autoPict="0">
                <anchor moveWithCells="1">
                  <from>
                    <xdr:col>8</xdr:col>
                    <xdr:colOff>323850</xdr:colOff>
                    <xdr:row>15</xdr:row>
                    <xdr:rowOff>57150</xdr:rowOff>
                  </from>
                  <to>
                    <xdr:col>9</xdr:col>
                    <xdr:colOff>180975</xdr:colOff>
                    <xdr:row>15</xdr:row>
                    <xdr:rowOff>238125</xdr:rowOff>
                  </to>
                </anchor>
              </controlPr>
            </control>
          </mc:Choice>
        </mc:AlternateContent>
        <mc:AlternateContent xmlns:mc="http://schemas.openxmlformats.org/markup-compatibility/2006">
          <mc:Choice Requires="x14">
            <control shapeId="3153" r:id="rId20" name="Option Button 81">
              <controlPr defaultSize="0" autoFill="0" autoLine="0" autoPict="0">
                <anchor moveWithCells="1">
                  <from>
                    <xdr:col>11</xdr:col>
                    <xdr:colOff>152400</xdr:colOff>
                    <xdr:row>15</xdr:row>
                    <xdr:rowOff>57150</xdr:rowOff>
                  </from>
                  <to>
                    <xdr:col>11</xdr:col>
                    <xdr:colOff>457200</xdr:colOff>
                    <xdr:row>15</xdr:row>
                    <xdr:rowOff>238125</xdr:rowOff>
                  </to>
                </anchor>
              </controlPr>
            </control>
          </mc:Choice>
        </mc:AlternateContent>
        <mc:AlternateContent xmlns:mc="http://schemas.openxmlformats.org/markup-compatibility/2006">
          <mc:Choice Requires="x14">
            <control shapeId="3154" r:id="rId21" name="Group Box 82">
              <controlPr defaultSize="0" autoFill="0" autoPict="0">
                <anchor moveWithCells="1">
                  <from>
                    <xdr:col>8</xdr:col>
                    <xdr:colOff>0</xdr:colOff>
                    <xdr:row>16</xdr:row>
                    <xdr:rowOff>0</xdr:rowOff>
                  </from>
                  <to>
                    <xdr:col>11</xdr:col>
                    <xdr:colOff>600075</xdr:colOff>
                    <xdr:row>17</xdr:row>
                    <xdr:rowOff>0</xdr:rowOff>
                  </to>
                </anchor>
              </controlPr>
            </control>
          </mc:Choice>
        </mc:AlternateContent>
        <mc:AlternateContent xmlns:mc="http://schemas.openxmlformats.org/markup-compatibility/2006">
          <mc:Choice Requires="x14">
            <control shapeId="3155" r:id="rId22" name="Option Button 83">
              <controlPr defaultSize="0" autoFill="0" autoLine="0" autoPict="0">
                <anchor moveWithCells="1">
                  <from>
                    <xdr:col>8</xdr:col>
                    <xdr:colOff>323850</xdr:colOff>
                    <xdr:row>16</xdr:row>
                    <xdr:rowOff>66675</xdr:rowOff>
                  </from>
                  <to>
                    <xdr:col>9</xdr:col>
                    <xdr:colOff>190500</xdr:colOff>
                    <xdr:row>16</xdr:row>
                    <xdr:rowOff>257175</xdr:rowOff>
                  </to>
                </anchor>
              </controlPr>
            </control>
          </mc:Choice>
        </mc:AlternateContent>
        <mc:AlternateContent xmlns:mc="http://schemas.openxmlformats.org/markup-compatibility/2006">
          <mc:Choice Requires="x14">
            <control shapeId="3156" r:id="rId23" name="Option Button 84">
              <controlPr defaultSize="0" autoFill="0" autoLine="0" autoPict="0">
                <anchor moveWithCells="1">
                  <from>
                    <xdr:col>11</xdr:col>
                    <xdr:colOff>152400</xdr:colOff>
                    <xdr:row>16</xdr:row>
                    <xdr:rowOff>66675</xdr:rowOff>
                  </from>
                  <to>
                    <xdr:col>11</xdr:col>
                    <xdr:colOff>476250</xdr:colOff>
                    <xdr:row>16</xdr:row>
                    <xdr:rowOff>257175</xdr:rowOff>
                  </to>
                </anchor>
              </controlPr>
            </control>
          </mc:Choice>
        </mc:AlternateContent>
        <mc:AlternateContent xmlns:mc="http://schemas.openxmlformats.org/markup-compatibility/2006">
          <mc:Choice Requires="x14">
            <control shapeId="3157" r:id="rId24" name="Group Box 85">
              <controlPr defaultSize="0" autoFill="0" autoPict="0">
                <anchor moveWithCells="1">
                  <from>
                    <xdr:col>7</xdr:col>
                    <xdr:colOff>114300</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3158" r:id="rId25" name="Option Button 86">
              <controlPr defaultSize="0" autoFill="0" autoLine="0" autoPict="0">
                <anchor moveWithCells="1">
                  <from>
                    <xdr:col>8</xdr:col>
                    <xdr:colOff>323850</xdr:colOff>
                    <xdr:row>17</xdr:row>
                    <xdr:rowOff>85725</xdr:rowOff>
                  </from>
                  <to>
                    <xdr:col>9</xdr:col>
                    <xdr:colOff>180975</xdr:colOff>
                    <xdr:row>17</xdr:row>
                    <xdr:rowOff>247650</xdr:rowOff>
                  </to>
                </anchor>
              </controlPr>
            </control>
          </mc:Choice>
        </mc:AlternateContent>
        <mc:AlternateContent xmlns:mc="http://schemas.openxmlformats.org/markup-compatibility/2006">
          <mc:Choice Requires="x14">
            <control shapeId="3159" r:id="rId26" name="Option Button 87">
              <controlPr defaultSize="0" autoFill="0" autoLine="0" autoPict="0">
                <anchor moveWithCells="1">
                  <from>
                    <xdr:col>11</xdr:col>
                    <xdr:colOff>152400</xdr:colOff>
                    <xdr:row>17</xdr:row>
                    <xdr:rowOff>85725</xdr:rowOff>
                  </from>
                  <to>
                    <xdr:col>11</xdr:col>
                    <xdr:colOff>466725</xdr:colOff>
                    <xdr:row>17</xdr:row>
                    <xdr:rowOff>247650</xdr:rowOff>
                  </to>
                </anchor>
              </controlPr>
            </control>
          </mc:Choice>
        </mc:AlternateContent>
        <mc:AlternateContent xmlns:mc="http://schemas.openxmlformats.org/markup-compatibility/2006">
          <mc:Choice Requires="x14">
            <control shapeId="3160" r:id="rId27" name="Group Box 88">
              <controlPr defaultSize="0" autoFill="0" autoPict="0">
                <anchor moveWithCells="1">
                  <from>
                    <xdr:col>7</xdr:col>
                    <xdr:colOff>114300</xdr:colOff>
                    <xdr:row>18</xdr:row>
                    <xdr:rowOff>0</xdr:rowOff>
                  </from>
                  <to>
                    <xdr:col>12</xdr:col>
                    <xdr:colOff>0</xdr:colOff>
                    <xdr:row>19</xdr:row>
                    <xdr:rowOff>0</xdr:rowOff>
                  </to>
                </anchor>
              </controlPr>
            </control>
          </mc:Choice>
        </mc:AlternateContent>
        <mc:AlternateContent xmlns:mc="http://schemas.openxmlformats.org/markup-compatibility/2006">
          <mc:Choice Requires="x14">
            <control shapeId="3161" r:id="rId28" name="Option Button 89">
              <controlPr defaultSize="0" autoFill="0" autoLine="0" autoPict="0">
                <anchor moveWithCells="1">
                  <from>
                    <xdr:col>8</xdr:col>
                    <xdr:colOff>323850</xdr:colOff>
                    <xdr:row>18</xdr:row>
                    <xdr:rowOff>76200</xdr:rowOff>
                  </from>
                  <to>
                    <xdr:col>9</xdr:col>
                    <xdr:colOff>180975</xdr:colOff>
                    <xdr:row>18</xdr:row>
                    <xdr:rowOff>228600</xdr:rowOff>
                  </to>
                </anchor>
              </controlPr>
            </control>
          </mc:Choice>
        </mc:AlternateContent>
        <mc:AlternateContent xmlns:mc="http://schemas.openxmlformats.org/markup-compatibility/2006">
          <mc:Choice Requires="x14">
            <control shapeId="3162" r:id="rId29" name="Option Button 90">
              <controlPr defaultSize="0" autoFill="0" autoLine="0" autoPict="0">
                <anchor moveWithCells="1">
                  <from>
                    <xdr:col>11</xdr:col>
                    <xdr:colOff>152400</xdr:colOff>
                    <xdr:row>18</xdr:row>
                    <xdr:rowOff>76200</xdr:rowOff>
                  </from>
                  <to>
                    <xdr:col>11</xdr:col>
                    <xdr:colOff>466725</xdr:colOff>
                    <xdr:row>18</xdr:row>
                    <xdr:rowOff>228600</xdr:rowOff>
                  </to>
                </anchor>
              </controlPr>
            </control>
          </mc:Choice>
        </mc:AlternateContent>
        <mc:AlternateContent xmlns:mc="http://schemas.openxmlformats.org/markup-compatibility/2006">
          <mc:Choice Requires="x14">
            <control shapeId="3163" r:id="rId30" name="Option Button 91">
              <controlPr defaultSize="0" autoFill="0" autoLine="0" autoPict="0">
                <anchor moveWithCells="1">
                  <from>
                    <xdr:col>4</xdr:col>
                    <xdr:colOff>276225</xdr:colOff>
                    <xdr:row>71</xdr:row>
                    <xdr:rowOff>152400</xdr:rowOff>
                  </from>
                  <to>
                    <xdr:col>4</xdr:col>
                    <xdr:colOff>581025</xdr:colOff>
                    <xdr:row>71</xdr:row>
                    <xdr:rowOff>371475</xdr:rowOff>
                  </to>
                </anchor>
              </controlPr>
            </control>
          </mc:Choice>
        </mc:AlternateContent>
        <mc:AlternateContent xmlns:mc="http://schemas.openxmlformats.org/markup-compatibility/2006">
          <mc:Choice Requires="x14">
            <control shapeId="3164" r:id="rId31" name="Option Button 92">
              <controlPr defaultSize="0" autoFill="0" autoLine="0" autoPict="0">
                <anchor moveWithCells="1">
                  <from>
                    <xdr:col>5</xdr:col>
                    <xdr:colOff>266700</xdr:colOff>
                    <xdr:row>71</xdr:row>
                    <xdr:rowOff>152400</xdr:rowOff>
                  </from>
                  <to>
                    <xdr:col>5</xdr:col>
                    <xdr:colOff>571500</xdr:colOff>
                    <xdr:row>71</xdr:row>
                    <xdr:rowOff>371475</xdr:rowOff>
                  </to>
                </anchor>
              </controlPr>
            </control>
          </mc:Choice>
        </mc:AlternateContent>
        <mc:AlternateContent xmlns:mc="http://schemas.openxmlformats.org/markup-compatibility/2006">
          <mc:Choice Requires="x14">
            <control shapeId="3165" r:id="rId32" name="Option Button 93">
              <controlPr defaultSize="0" autoFill="0" autoLine="0" autoPict="0">
                <anchor moveWithCells="1">
                  <from>
                    <xdr:col>4</xdr:col>
                    <xdr:colOff>285750</xdr:colOff>
                    <xdr:row>72</xdr:row>
                    <xdr:rowOff>152400</xdr:rowOff>
                  </from>
                  <to>
                    <xdr:col>4</xdr:col>
                    <xdr:colOff>590550</xdr:colOff>
                    <xdr:row>72</xdr:row>
                    <xdr:rowOff>371475</xdr:rowOff>
                  </to>
                </anchor>
              </controlPr>
            </control>
          </mc:Choice>
        </mc:AlternateContent>
        <mc:AlternateContent xmlns:mc="http://schemas.openxmlformats.org/markup-compatibility/2006">
          <mc:Choice Requires="x14">
            <control shapeId="3167" r:id="rId33" name="Option Button 95">
              <controlPr defaultSize="0" autoFill="0" autoLine="0" autoPict="0">
                <anchor moveWithCells="1">
                  <from>
                    <xdr:col>5</xdr:col>
                    <xdr:colOff>276225</xdr:colOff>
                    <xdr:row>72</xdr:row>
                    <xdr:rowOff>152400</xdr:rowOff>
                  </from>
                  <to>
                    <xdr:col>5</xdr:col>
                    <xdr:colOff>581025</xdr:colOff>
                    <xdr:row>72</xdr:row>
                    <xdr:rowOff>361950</xdr:rowOff>
                  </to>
                </anchor>
              </controlPr>
            </control>
          </mc:Choice>
        </mc:AlternateContent>
        <mc:AlternateContent xmlns:mc="http://schemas.openxmlformats.org/markup-compatibility/2006">
          <mc:Choice Requires="x14">
            <control shapeId="3169" r:id="rId34" name="Group Box 97">
              <controlPr defaultSize="0" autoFill="0" autoPict="0">
                <anchor moveWithCells="1">
                  <from>
                    <xdr:col>4</xdr:col>
                    <xdr:colOff>0</xdr:colOff>
                    <xdr:row>71</xdr:row>
                    <xdr:rowOff>0</xdr:rowOff>
                  </from>
                  <to>
                    <xdr:col>6</xdr:col>
                    <xdr:colOff>0</xdr:colOff>
                    <xdr:row>72</xdr:row>
                    <xdr:rowOff>0</xdr:rowOff>
                  </to>
                </anchor>
              </controlPr>
            </control>
          </mc:Choice>
        </mc:AlternateContent>
        <mc:AlternateContent xmlns:mc="http://schemas.openxmlformats.org/markup-compatibility/2006">
          <mc:Choice Requires="x14">
            <control shapeId="3170" r:id="rId35" name="Group Box 98">
              <controlPr defaultSize="0" autoFill="0" autoPict="0">
                <anchor moveWithCells="1">
                  <from>
                    <xdr:col>4</xdr:col>
                    <xdr:colOff>0</xdr:colOff>
                    <xdr:row>72</xdr:row>
                    <xdr:rowOff>0</xdr:rowOff>
                  </from>
                  <to>
                    <xdr:col>6</xdr:col>
                    <xdr:colOff>0</xdr:colOff>
                    <xdr:row>73</xdr:row>
                    <xdr:rowOff>0</xdr:rowOff>
                  </to>
                </anchor>
              </controlPr>
            </control>
          </mc:Choice>
        </mc:AlternateContent>
        <mc:AlternateContent xmlns:mc="http://schemas.openxmlformats.org/markup-compatibility/2006">
          <mc:Choice Requires="x14">
            <control shapeId="3171" r:id="rId36" name="Group Box 99">
              <controlPr defaultSize="0" autoFill="0" autoPict="0">
                <anchor moveWithCells="1">
                  <from>
                    <xdr:col>4</xdr:col>
                    <xdr:colOff>0</xdr:colOff>
                    <xdr:row>73</xdr:row>
                    <xdr:rowOff>0</xdr:rowOff>
                  </from>
                  <to>
                    <xdr:col>5</xdr:col>
                    <xdr:colOff>762000</xdr:colOff>
                    <xdr:row>74</xdr:row>
                    <xdr:rowOff>0</xdr:rowOff>
                  </to>
                </anchor>
              </controlPr>
            </control>
          </mc:Choice>
        </mc:AlternateContent>
        <mc:AlternateContent xmlns:mc="http://schemas.openxmlformats.org/markup-compatibility/2006">
          <mc:Choice Requires="x14">
            <control shapeId="3178" r:id="rId37" name="Group Box 106">
              <controlPr defaultSize="0" autoFill="0" autoPict="0">
                <anchor>
                  <from>
                    <xdr:col>10</xdr:col>
                    <xdr:colOff>266700</xdr:colOff>
                    <xdr:row>38</xdr:row>
                    <xdr:rowOff>0</xdr:rowOff>
                  </from>
                  <to>
                    <xdr:col>15</xdr:col>
                    <xdr:colOff>0</xdr:colOff>
                    <xdr:row>40</xdr:row>
                    <xdr:rowOff>0</xdr:rowOff>
                  </to>
                </anchor>
              </controlPr>
            </control>
          </mc:Choice>
        </mc:AlternateContent>
        <mc:AlternateContent xmlns:mc="http://schemas.openxmlformats.org/markup-compatibility/2006">
          <mc:Choice Requires="x14">
            <control shapeId="3180" r:id="rId38" name="Option Button 108">
              <controlPr defaultSize="0" autoFill="0" autoLine="0" autoPict="0">
                <anchor moveWithCells="1">
                  <from>
                    <xdr:col>11</xdr:col>
                    <xdr:colOff>200025</xdr:colOff>
                    <xdr:row>40</xdr:row>
                    <xdr:rowOff>57150</xdr:rowOff>
                  </from>
                  <to>
                    <xdr:col>11</xdr:col>
                    <xdr:colOff>504825</xdr:colOff>
                    <xdr:row>41</xdr:row>
                    <xdr:rowOff>85725</xdr:rowOff>
                  </to>
                </anchor>
              </controlPr>
            </control>
          </mc:Choice>
        </mc:AlternateContent>
        <mc:AlternateContent xmlns:mc="http://schemas.openxmlformats.org/markup-compatibility/2006">
          <mc:Choice Requires="x14">
            <control shapeId="3181" r:id="rId39" name="Option Button 109">
              <controlPr defaultSize="0" autoFill="0" autoLine="0" autoPict="0">
                <anchor moveWithCells="1">
                  <from>
                    <xdr:col>12</xdr:col>
                    <xdr:colOff>295275</xdr:colOff>
                    <xdr:row>40</xdr:row>
                    <xdr:rowOff>57150</xdr:rowOff>
                  </from>
                  <to>
                    <xdr:col>13</xdr:col>
                    <xdr:colOff>257175</xdr:colOff>
                    <xdr:row>41</xdr:row>
                    <xdr:rowOff>85725</xdr:rowOff>
                  </to>
                </anchor>
              </controlPr>
            </control>
          </mc:Choice>
        </mc:AlternateContent>
        <mc:AlternateContent xmlns:mc="http://schemas.openxmlformats.org/markup-compatibility/2006">
          <mc:Choice Requires="x14">
            <control shapeId="3182" r:id="rId40" name="Option Button 110">
              <controlPr defaultSize="0" autoFill="0" autoLine="0" autoPict="0">
                <anchor moveWithCells="1">
                  <from>
                    <xdr:col>14</xdr:col>
                    <xdr:colOff>228600</xdr:colOff>
                    <xdr:row>40</xdr:row>
                    <xdr:rowOff>57150</xdr:rowOff>
                  </from>
                  <to>
                    <xdr:col>14</xdr:col>
                    <xdr:colOff>523875</xdr:colOff>
                    <xdr:row>41</xdr:row>
                    <xdr:rowOff>85725</xdr:rowOff>
                  </to>
                </anchor>
              </controlPr>
            </control>
          </mc:Choice>
        </mc:AlternateContent>
        <mc:AlternateContent xmlns:mc="http://schemas.openxmlformats.org/markup-compatibility/2006">
          <mc:Choice Requires="x14">
            <control shapeId="3183" r:id="rId41" name="Group Box 111">
              <controlPr defaultSize="0" autoFill="0" autoPict="0">
                <anchor moveWithCells="1">
                  <from>
                    <xdr:col>10</xdr:col>
                    <xdr:colOff>266700</xdr:colOff>
                    <xdr:row>40</xdr:row>
                    <xdr:rowOff>0</xdr:rowOff>
                  </from>
                  <to>
                    <xdr:col>15</xdr:col>
                    <xdr:colOff>0</xdr:colOff>
                    <xdr:row>42</xdr:row>
                    <xdr:rowOff>0</xdr:rowOff>
                  </to>
                </anchor>
              </controlPr>
            </control>
          </mc:Choice>
        </mc:AlternateContent>
        <mc:AlternateContent xmlns:mc="http://schemas.openxmlformats.org/markup-compatibility/2006">
          <mc:Choice Requires="x14">
            <control shapeId="3192" r:id="rId42" name="Option Button 120">
              <controlPr defaultSize="0" autoFill="0" autoLine="0" autoPict="0">
                <anchor moveWithCells="1">
                  <from>
                    <xdr:col>4</xdr:col>
                    <xdr:colOff>276225</xdr:colOff>
                    <xdr:row>73</xdr:row>
                    <xdr:rowOff>133350</xdr:rowOff>
                  </from>
                  <to>
                    <xdr:col>4</xdr:col>
                    <xdr:colOff>581025</xdr:colOff>
                    <xdr:row>73</xdr:row>
                    <xdr:rowOff>352425</xdr:rowOff>
                  </to>
                </anchor>
              </controlPr>
            </control>
          </mc:Choice>
        </mc:AlternateContent>
        <mc:AlternateContent xmlns:mc="http://schemas.openxmlformats.org/markup-compatibility/2006">
          <mc:Choice Requires="x14">
            <control shapeId="3193" r:id="rId43" name="Option Button 121">
              <controlPr defaultSize="0" autoFill="0" autoLine="0" autoPict="0">
                <anchor moveWithCells="1">
                  <from>
                    <xdr:col>5</xdr:col>
                    <xdr:colOff>276225</xdr:colOff>
                    <xdr:row>73</xdr:row>
                    <xdr:rowOff>133350</xdr:rowOff>
                  </from>
                  <to>
                    <xdr:col>5</xdr:col>
                    <xdr:colOff>581025</xdr:colOff>
                    <xdr:row>73</xdr:row>
                    <xdr:rowOff>352425</xdr:rowOff>
                  </to>
                </anchor>
              </controlPr>
            </control>
          </mc:Choice>
        </mc:AlternateContent>
        <mc:AlternateContent xmlns:mc="http://schemas.openxmlformats.org/markup-compatibility/2006">
          <mc:Choice Requires="x14">
            <control shapeId="3194" r:id="rId44" name="Check Box 122">
              <controlPr defaultSize="0" autoFill="0" autoLine="0" autoPict="0">
                <anchor moveWithCells="1">
                  <from>
                    <xdr:col>14</xdr:col>
                    <xdr:colOff>238125</xdr:colOff>
                    <xdr:row>38</xdr:row>
                    <xdr:rowOff>38100</xdr:rowOff>
                  </from>
                  <to>
                    <xdr:col>14</xdr:col>
                    <xdr:colOff>495300</xdr:colOff>
                    <xdr:row>39</xdr:row>
                    <xdr:rowOff>47625</xdr:rowOff>
                  </to>
                </anchor>
              </controlPr>
            </control>
          </mc:Choice>
        </mc:AlternateContent>
        <mc:AlternateContent xmlns:mc="http://schemas.openxmlformats.org/markup-compatibility/2006">
          <mc:Choice Requires="x14">
            <control shapeId="3195" r:id="rId45" name="Check Box 123">
              <controlPr defaultSize="0" autoFill="0" autoLine="0" autoPict="0">
                <anchor moveWithCells="1">
                  <from>
                    <xdr:col>11</xdr:col>
                    <xdr:colOff>219075</xdr:colOff>
                    <xdr:row>38</xdr:row>
                    <xdr:rowOff>38100</xdr:rowOff>
                  </from>
                  <to>
                    <xdr:col>11</xdr:col>
                    <xdr:colOff>466725</xdr:colOff>
                    <xdr:row>39</xdr:row>
                    <xdr:rowOff>47625</xdr:rowOff>
                  </to>
                </anchor>
              </controlPr>
            </control>
          </mc:Choice>
        </mc:AlternateContent>
        <mc:AlternateContent xmlns:mc="http://schemas.openxmlformats.org/markup-compatibility/2006">
          <mc:Choice Requires="x14">
            <control shapeId="3196" r:id="rId46" name="Check Box 124">
              <controlPr defaultSize="0" autoFill="0" autoLine="0" autoPict="0">
                <anchor moveWithCells="1">
                  <from>
                    <xdr:col>12</xdr:col>
                    <xdr:colOff>295275</xdr:colOff>
                    <xdr:row>38</xdr:row>
                    <xdr:rowOff>38100</xdr:rowOff>
                  </from>
                  <to>
                    <xdr:col>13</xdr:col>
                    <xdr:colOff>219075</xdr:colOff>
                    <xdr:row>39</xdr:row>
                    <xdr:rowOff>47625</xdr:rowOff>
                  </to>
                </anchor>
              </controlPr>
            </control>
          </mc:Choice>
        </mc:AlternateContent>
        <mc:AlternateContent xmlns:mc="http://schemas.openxmlformats.org/markup-compatibility/2006">
          <mc:Choice Requires="x14">
            <control shapeId="3097" r:id="rId47" name="Check Box 25">
              <controlPr defaultSize="0" autoFill="0" autoLine="0" autoPict="0">
                <anchor moveWithCells="1">
                  <from>
                    <xdr:col>14</xdr:col>
                    <xdr:colOff>219075</xdr:colOff>
                    <xdr:row>52</xdr:row>
                    <xdr:rowOff>142875</xdr:rowOff>
                  </from>
                  <to>
                    <xdr:col>14</xdr:col>
                    <xdr:colOff>457200</xdr:colOff>
                    <xdr:row>54</xdr:row>
                    <xdr:rowOff>66675</xdr:rowOff>
                  </to>
                </anchor>
              </controlPr>
            </control>
          </mc:Choice>
        </mc:AlternateContent>
        <mc:AlternateContent xmlns:mc="http://schemas.openxmlformats.org/markup-compatibility/2006">
          <mc:Choice Requires="x14">
            <control shapeId="3098" r:id="rId48" name="Check Box 26">
              <controlPr defaultSize="0" autoFill="0" autoLine="0" autoPict="0">
                <anchor moveWithCells="1">
                  <from>
                    <xdr:col>12</xdr:col>
                    <xdr:colOff>238125</xdr:colOff>
                    <xdr:row>52</xdr:row>
                    <xdr:rowOff>142875</xdr:rowOff>
                  </from>
                  <to>
                    <xdr:col>13</xdr:col>
                    <xdr:colOff>123825</xdr:colOff>
                    <xdr:row>54</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7" id="{A5541A75-E81B-4A57-84EA-88B3E4350C4C}">
            <x14:iconSet showValue="0" custom="1">
              <x14:cfvo type="percent">
                <xm:f>0</xm:f>
              </x14:cfvo>
              <x14:cfvo type="num">
                <xm:f>1</xm:f>
              </x14:cfvo>
              <x14:cfvo type="num">
                <xm:f>2</xm:f>
              </x14:cfvo>
              <x14:cfIcon iconSet="3Symbols" iconId="0"/>
              <x14:cfIcon iconSet="3Symbols" iconId="2"/>
              <x14:cfIcon iconSet="4RedToBlack" iconId="1"/>
            </x14:iconSet>
          </x14:cfRule>
          <xm:sqref>R3 R38:R42</xm:sqref>
        </x14:conditionalFormatting>
        <x14:conditionalFormatting xmlns:xm="http://schemas.microsoft.com/office/excel/2006/main">
          <x14:cfRule type="iconSet" priority="24" id="{46FD743B-A42A-4180-A6EA-DCA29C895F1F}">
            <x14:iconSet iconSet="3Symbols" showValue="0" custom="1">
              <x14:cfvo type="percent">
                <xm:f>0</xm:f>
              </x14:cfvo>
              <x14:cfvo type="num">
                <xm:f>1</xm:f>
              </x14:cfvo>
              <x14:cfvo type="num">
                <xm:f>2</xm:f>
              </x14:cfvo>
              <x14:cfIcon iconSet="3Symbols" iconId="0"/>
              <x14:cfIcon iconSet="3Symbols" iconId="2"/>
              <x14:cfIcon iconSet="4RedToBlack" iconId="1"/>
            </x14:iconSet>
          </x14:cfRule>
          <xm:sqref>R24 R32:R33 R15:R19</xm:sqref>
        </x14:conditionalFormatting>
        <x14:conditionalFormatting xmlns:xm="http://schemas.microsoft.com/office/excel/2006/main">
          <x14:cfRule type="iconSet" priority="3" id="{B6C2BCD2-056E-4525-98E7-59DFABBDC887}">
            <x14:iconSet showValue="0" custom="1">
              <x14:cfvo type="percent">
                <xm:f>0</xm:f>
              </x14:cfvo>
              <x14:cfvo type="num">
                <xm:f>1</xm:f>
              </x14:cfvo>
              <x14:cfvo type="num">
                <xm:f>2</xm:f>
              </x14:cfvo>
              <x14:cfIcon iconSet="3Symbols" iconId="0"/>
              <x14:cfIcon iconSet="3Symbols" iconId="2"/>
              <x14:cfIcon iconSet="4RedToBlack" iconId="1"/>
            </x14:iconSet>
          </x14:cfRule>
          <xm:sqref>R43:R67</xm:sqref>
        </x14:conditionalFormatting>
        <x14:conditionalFormatting xmlns:xm="http://schemas.microsoft.com/office/excel/2006/main">
          <x14:cfRule type="iconSet" priority="5" id="{A10D91A5-4115-4752-9FFB-2DC1E0AAB4B8}">
            <x14:iconSet showValue="0" custom="1">
              <x14:cfvo type="percent">
                <xm:f>0</xm:f>
              </x14:cfvo>
              <x14:cfvo type="num">
                <xm:f>1</xm:f>
              </x14:cfvo>
              <x14:cfvo type="num">
                <xm:f>2</xm:f>
              </x14:cfvo>
              <x14:cfIcon iconSet="3Symbols" iconId="0"/>
              <x14:cfIcon iconSet="3Symbols" iconId="2"/>
              <x14:cfIcon iconSet="4RedToBlack" iconId="1"/>
            </x14:iconSet>
          </x14:cfRule>
          <xm:sqref>R72:R73</xm:sqref>
        </x14:conditionalFormatting>
        <x14:conditionalFormatting xmlns:xm="http://schemas.microsoft.com/office/excel/2006/main">
          <x14:cfRule type="iconSet" priority="1" id="{64BB0FEA-72C7-46D0-A063-AC3C63F6DF02}">
            <x14:iconSet showValue="0" custom="1">
              <x14:cfvo type="percent">
                <xm:f>0</xm:f>
              </x14:cfvo>
              <x14:cfvo type="num">
                <xm:f>1</xm:f>
              </x14:cfvo>
              <x14:cfvo type="num">
                <xm:f>2</xm:f>
              </x14:cfvo>
              <x14:cfIcon iconSet="3Symbols" iconId="0"/>
              <x14:cfIcon iconSet="3Symbols" iconId="2"/>
              <x14:cfIcon iconSet="4RedToBlack" iconId="1"/>
            </x14:iconSet>
          </x14:cfRule>
          <xm:sqref>R74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B37EC68-3DF3-494D-8D50-5C0D25C4AB85}">
          <x14:formula1>
            <xm:f>helper_ENERGIETECHNIK!$A$41:$A$51</xm:f>
          </x14:formula1>
          <xm:sqref>L49:O49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1620C-095D-4170-A6EB-26DBFBE698BB}">
  <sheetPr codeName="TAB21"/>
  <dimension ref="A1:H51"/>
  <sheetViews>
    <sheetView topLeftCell="A10" workbookViewId="0">
      <selection activeCell="C12" sqref="C12"/>
    </sheetView>
  </sheetViews>
  <sheetFormatPr defaultColWidth="11.42578125" defaultRowHeight="15" x14ac:dyDescent="0.25"/>
  <cols>
    <col min="1" max="1" width="33.140625" style="118" bestFit="1" customWidth="1"/>
    <col min="2" max="2" width="83.28515625" style="118" bestFit="1" customWidth="1"/>
    <col min="3" max="3" width="25.7109375" style="118" bestFit="1" customWidth="1"/>
    <col min="4" max="4" width="33.85546875" style="118" customWidth="1"/>
    <col min="5" max="16384" width="11.42578125" style="118"/>
  </cols>
  <sheetData>
    <row r="1" spans="1:8" x14ac:dyDescent="0.25">
      <c r="A1" s="119" t="s">
        <v>195</v>
      </c>
      <c r="B1" s="121" t="s">
        <v>197</v>
      </c>
    </row>
    <row r="2" spans="1:8" x14ac:dyDescent="0.25">
      <c r="A2" s="118" t="s">
        <v>204</v>
      </c>
      <c r="B2" s="120">
        <f>IF(OR(ISBLANK(ENERGIETECHNIK!$K$3),ISBLANK(ENERGIETECHNIK!$K$5),ISBLANK(ENERGIETECHNIK!$K$7),ISBLANK(ENERGIETECHNIK!$K$9)),0,1)</f>
        <v>0</v>
      </c>
    </row>
    <row r="4" spans="1:8" x14ac:dyDescent="0.25">
      <c r="A4" s="119" t="s">
        <v>31</v>
      </c>
      <c r="B4" s="121" t="s">
        <v>196</v>
      </c>
      <c r="C4" s="118" t="s">
        <v>285</v>
      </c>
      <c r="D4" s="118" t="s">
        <v>245</v>
      </c>
    </row>
    <row r="5" spans="1:8" x14ac:dyDescent="0.25">
      <c r="A5" s="118" t="s">
        <v>199</v>
      </c>
      <c r="B5" s="120">
        <f>IF(OR(helper_ENERGIETECHNIK!$C5=0,AND(helper_ENERGIETECHNIK!$C5=1,$D5)),0,1)</f>
        <v>0</v>
      </c>
      <c r="C5" s="118">
        <v>0</v>
      </c>
      <c r="D5" s="118" t="b">
        <v>0</v>
      </c>
    </row>
    <row r="6" spans="1:8" x14ac:dyDescent="0.25">
      <c r="A6" s="118" t="s">
        <v>198</v>
      </c>
      <c r="B6" s="120">
        <f>IF(OR(helper_ENERGIETECHNIK!$C6=0,AND(helper_ENERGIETECHNIK!$C6=1,$D6)),0,1)</f>
        <v>0</v>
      </c>
      <c r="C6" s="118">
        <v>0</v>
      </c>
      <c r="D6" s="118" t="b">
        <v>0</v>
      </c>
    </row>
    <row r="7" spans="1:8" x14ac:dyDescent="0.25">
      <c r="A7" s="118" t="s">
        <v>200</v>
      </c>
      <c r="B7" s="120">
        <f>IF(OR(helper_ENERGIETECHNIK!$C7=0,AND(helper_ENERGIETECHNIK!$C7=1,$D7)),0,1)</f>
        <v>0</v>
      </c>
      <c r="C7" s="118">
        <v>0</v>
      </c>
      <c r="D7" s="118" t="b">
        <v>0</v>
      </c>
    </row>
    <row r="8" spans="1:8" x14ac:dyDescent="0.25">
      <c r="A8" s="118" t="s">
        <v>201</v>
      </c>
      <c r="B8" s="120">
        <f>IF(OR(helper_ENERGIETECHNIK!$C8=0,AND(helper_ENERGIETECHNIK!$C8=1,$D8)),0,1)</f>
        <v>0</v>
      </c>
      <c r="C8" s="118">
        <v>0</v>
      </c>
      <c r="D8" s="118" t="b">
        <v>0</v>
      </c>
    </row>
    <row r="9" spans="1:8" x14ac:dyDescent="0.25">
      <c r="A9" s="118" t="s">
        <v>202</v>
      </c>
      <c r="B9" s="120">
        <f>IF(OR(helper_ENERGIETECHNIK!$C9=0,AND(helper_ENERGIETECHNIK!$C9=1,$D9)),0,1)</f>
        <v>0</v>
      </c>
      <c r="C9" s="118">
        <v>0</v>
      </c>
      <c r="D9" s="118" t="b">
        <v>0</v>
      </c>
      <c r="H9" s="117"/>
    </row>
    <row r="10" spans="1:8" x14ac:dyDescent="0.25">
      <c r="H10" s="117"/>
    </row>
    <row r="11" spans="1:8" x14ac:dyDescent="0.25">
      <c r="A11" s="192" t="s">
        <v>39</v>
      </c>
      <c r="B11" s="121" t="s">
        <v>252</v>
      </c>
      <c r="C11" s="118" t="s">
        <v>286</v>
      </c>
    </row>
    <row r="12" spans="1:8" x14ac:dyDescent="0.25">
      <c r="A12" s="118" t="s">
        <v>44</v>
      </c>
      <c r="B12" s="120">
        <f>IF(OR(
ISBLANK(ENERGIETECHNIK!$G$24), NOT(ISNUMBER(ENERGIETECHNIK!$G$24)),
NOT(OR(ISBLANK(ENERGIETECHNIK!$G$25), ISNUMBER(ENERGIETECHNIK!$G$25))),
NOT(OR(ISBLANK(ENERGIETECHNIK!$G$26), ISNUMBER(ENERGIETECHNIK!$G$26))),
NOT(OR(ISBLANK(ENERGIETECHNIK!$G$27), ISNUMBER(ENERGIETECHNIK!$G$27))),
NOT(OR(ISBLANK(ENERGIETECHNIK!$G$28), ISNUMBER(ENERGIETECHNIK!$G$28))),
NOT(OR(ISBLANK(ENERGIETECHNIK!$G$29), ISNUMBER(ENERGIETECHNIK!$G$29))),
NOT(OR(ISBLANK(ENERGIETECHNIK!$G$30), ISNUMBER(ENERGIETECHNIK!$G$30)))
), 0, 1)</f>
        <v>0</v>
      </c>
    </row>
    <row r="13" spans="1:8" x14ac:dyDescent="0.25">
      <c r="A13" s="118" t="s">
        <v>76</v>
      </c>
      <c r="B13" s="120">
        <v>1</v>
      </c>
      <c r="C13" s="118">
        <f>SUM(ENERGIETECHNIK!$G$24:$I$30)</f>
        <v>0</v>
      </c>
    </row>
    <row r="14" spans="1:8" x14ac:dyDescent="0.25">
      <c r="A14" s="118" t="s">
        <v>77</v>
      </c>
      <c r="B14" s="120">
        <f>IF(OR(ISBLANK(ENERGIETECHNIK!$G$32),NOT(ISNUMBER(ENERGIETECHNIK!$G$32))),0,1)</f>
        <v>0</v>
      </c>
    </row>
    <row r="16" spans="1:8" x14ac:dyDescent="0.25">
      <c r="A16" s="119" t="s">
        <v>81</v>
      </c>
      <c r="B16" s="121" t="s">
        <v>205</v>
      </c>
      <c r="C16" s="421" t="s">
        <v>90</v>
      </c>
      <c r="D16" s="421"/>
      <c r="E16" s="421"/>
    </row>
    <row r="17" spans="1:7" x14ac:dyDescent="0.25">
      <c r="A17" s="193" t="s">
        <v>88</v>
      </c>
      <c r="B17" s="194" t="s">
        <v>203</v>
      </c>
      <c r="C17" s="422" t="s">
        <v>288</v>
      </c>
      <c r="D17" s="422"/>
      <c r="E17" s="422"/>
    </row>
    <row r="18" spans="1:7" x14ac:dyDescent="0.25">
      <c r="A18" s="195" t="s">
        <v>82</v>
      </c>
      <c r="B18" s="423">
        <f>IF(OR(
ISBLANK(ENERGIETECHNIK!$E$40),NOT(ISNUMBER(ENERGIETECHNIK!$E$40)),ISBLANK(ENERGIETECHNIK!$M$38),NOT(OR(helper_ENERGIETECHNIK!$C$18,helper_ENERGIETECHNIK!$D$18,helper_ENERGIETECHNIK!$E$18)),helper_ENERGIETECHNIK!C19=0
),0,1)</f>
        <v>0</v>
      </c>
      <c r="C18" s="154" t="b">
        <v>0</v>
      </c>
      <c r="D18" s="196" t="b">
        <v>0</v>
      </c>
      <c r="E18" s="118" t="b">
        <v>0</v>
      </c>
    </row>
    <row r="19" spans="1:7" x14ac:dyDescent="0.25">
      <c r="A19" s="197"/>
      <c r="B19" s="424"/>
      <c r="C19" s="198">
        <v>0</v>
      </c>
      <c r="D19" s="199" t="s">
        <v>244</v>
      </c>
    </row>
    <row r="20" spans="1:7" x14ac:dyDescent="0.25">
      <c r="A20" s="200"/>
      <c r="B20" s="120"/>
    </row>
    <row r="21" spans="1:7" x14ac:dyDescent="0.25">
      <c r="A21" s="200"/>
      <c r="B21" s="120"/>
      <c r="C21" s="425" t="s">
        <v>245</v>
      </c>
      <c r="D21" s="425"/>
      <c r="E21" s="425"/>
    </row>
    <row r="22" spans="1:7" x14ac:dyDescent="0.25">
      <c r="A22" s="195" t="s">
        <v>95</v>
      </c>
      <c r="B22" s="423">
        <f>IF(AND(
ISBLANK(ENERGIETECHNIK!$E$45),ISBLANK(ENERGIETECHNIK!$M$44),ISBLANK(ENERGIETECHNIK!$M$45)), 2,
IF(OR(
NOT(ISBLANK(ENERGIETECHNIK!$E$45)) * NOT(ISNUMBER(ENERGIETECHNIK!$E$45)),
NOT(ISBLANK(ENERGIETECHNIK!$M$44)) * NOT(ISNUMBER(ENERGIETECHNIK!$M$44)),
NOT(ISBLANK(ENERGIETECHNIK!$M$45)) * NOT(ISNUMBER(ENERGIETECHNIK!$M$45))
), 0,
IF(AND(
ISBLANK(ENERGIETECHNIK!$E$45),OR(NOT(ISBLANK(ENERGIETECHNIK!$M$44)),NOT(ISBLANK(ENERGIETECHNIK!$M$45)))
), 0,
IF(AND(
NOT(ISBLANK(ENERGIETECHNIK!$E$45)),OR(ISBLANK(ENERGIETECHNIK!$M$44),ISBLANK(ENERGIETECHNIK!$M$45)),
),0,
IF(AND(
NOT(ISBLANK(ENERGIETECHNIK!$E$45)),NOT(ISBLANK(ENERGIETECHNIK!$M$44)),NOT(ISBLANK(ENERGIETECHNIK!$M$45))
), 1, 0)))))</f>
        <v>2</v>
      </c>
      <c r="C22" s="201" t="s">
        <v>105</v>
      </c>
      <c r="D22" s="201" t="b">
        <v>0</v>
      </c>
      <c r="E22" s="196">
        <f>IF(D22,1,0)</f>
        <v>0</v>
      </c>
      <c r="F22" s="118" t="s">
        <v>207</v>
      </c>
    </row>
    <row r="23" spans="1:7" x14ac:dyDescent="0.25">
      <c r="A23" s="197"/>
      <c r="B23" s="424"/>
      <c r="C23" s="202" t="s">
        <v>106</v>
      </c>
      <c r="D23" s="202" t="b">
        <v>0</v>
      </c>
      <c r="E23" s="199">
        <f>IF(D23,1,0)</f>
        <v>0</v>
      </c>
    </row>
    <row r="24" spans="1:7" x14ac:dyDescent="0.25">
      <c r="A24" s="195" t="s">
        <v>96</v>
      </c>
      <c r="B24" s="155">
        <f>IF(AND(
ISBLANK(ENERGIETECHNIK!$E$50),ISBLANK(ENERGIETECHNIK!$E$51),ISBLANK(ENERGIETECHNIK!$L$49),ISBLANK(ENERGIETECHNIK!$M$50),ISBLANK(ENERGIETECHNIK!$M$51)
), 2,
IF(OR(
NOT(ISBLANK(ENERGIETECHNIK!$E$50)) * NOT(ISNUMBER(ENERGIETECHNIK!$E$50)),
NOT(ISBLANK(ENERGIETECHNIK!$E$51)) * NOT(ISNUMBER(ENERGIETECHNIK!$E$51)),
NOT(ISBLANK(ENERGIETECHNIK!$M$50)) * NOT(ISNUMBER(ENERGIETECHNIK!$M$50)),
NOT(ISBLANK(ENERGIETECHNIK!$M$51)) * NOT(ISNUMBER(ENERGIETECHNIK!$M$51))
), 0,
IF(AND(
NOT(ISBLANK(ENERGIETECHNIK!$E$50)),NOT(ISBLANK(ENERGIETECHNIK!$E$51)),NOT(ISBLANK(ENERGIETECHNIK!$L$49)),NOT(ISBLANK(ENERGIETECHNIK!$M$50)),NOT(ISBLANK(ENERGIETECHNIK!$M$51))
), 1, 0)))</f>
        <v>2</v>
      </c>
    </row>
    <row r="25" spans="1:7" x14ac:dyDescent="0.25">
      <c r="A25" s="195" t="s">
        <v>97</v>
      </c>
      <c r="B25" s="423">
        <f>IF(AND(
ISBLANK(ENERGIETECHNIK!$E$55),helper_ENERGIETECHNIK!$E$25=0,helper_ENERGIETECHNIK!E26=0,ISBLANK(ENERGIETECHNIK!$M$56)
), 2,
IF(OR(
NOT(ISBLANK(ENERGIETECHNIK!$E$55)) * NOT(ISNUMBER(ENERGIETECHNIK!$E$55)),
NOT(ISBLANK(ENERGIETECHNIK!$M$56)) * NOT(ISNUMBER(ENERGIETECHNIK!$M$56))
), 0,
IF(AND(
NOT(ISBLANK(ENERGIETECHNIK!$E$55)),OR(helper_ENERGIETECHNIK!$E$25=1,helper_ENERGIETECHNIK!$E$26=1),NOT(AND(ISBLANK(ENERGIETECHNIK!$M$56),helper_ENERGIETECHNIK!$E$25=1))
), 1,
IF(AND(
ISBLANK(ENERGIETECHNIK!$E$55), OR(helper_ENERGIETECHNIK!$E$25=1,helper_ENERGIETECHNIK!$E$26=1),NOT(ISBLANK(ENERGIETECHNIK!$M$56))
), 0, 0))))</f>
        <v>2</v>
      </c>
      <c r="C25" s="201" t="s">
        <v>110</v>
      </c>
      <c r="D25" s="201" t="b">
        <v>0</v>
      </c>
      <c r="E25" s="196">
        <f>IF(D25=TRUE,1,0)</f>
        <v>0</v>
      </c>
    </row>
    <row r="26" spans="1:7" x14ac:dyDescent="0.25">
      <c r="A26" s="197"/>
      <c r="B26" s="424"/>
      <c r="C26" s="202" t="s">
        <v>111</v>
      </c>
      <c r="D26" s="202" t="b">
        <v>0</v>
      </c>
      <c r="E26" s="199">
        <f>IF(D26=TRUE,1,0)</f>
        <v>0</v>
      </c>
    </row>
    <row r="27" spans="1:7" x14ac:dyDescent="0.25">
      <c r="A27" s="195" t="s">
        <v>98</v>
      </c>
      <c r="B27" s="423">
        <f>IF(AND(
ISBLANK(ENERGIETECHNIK!$E$60),helper_ENERGIETECHNIK!$E$27=0,helper_ENERGIETECHNIK!$E$28=0,ISBLANK(ENERGIETECHNIK!$M$59),ISBLANK(ENERGIETECHNIK!$M$60)
), 2,
IF(OR(
NOT(ISBLANK(ENERGIETECHNIK!$E$60)) * NOT(ISNUMBER(ENERGIETECHNIK!$E$60)),
NOT(ISBLANK(ENERGIETECHNIK!$M$59)) * NOT(ISNUMBER(ENERGIETECHNIK!$M$59)),
NOT(ISBLANK(ENERGIETECHNIK!$M$60)) * NOT(ISNUMBER(ENERGIETECHNIK!$M$60))
), 0,
IF(AND(
NOT(ISBLANK(ENERGIETECHNIK!$E$60)),NOT(ISBLANK(ENERGIETECHNIK!$M$59)),OR(AND(OR(helper_ENERGIETECHNIK!$E$27=1,helper_ENERGIETECHNIK!$E$28=1),NOT(ISBLANK(ENERGIETECHNIK!$M$60))),AND(NOT(OR(helper_ENERGIETECHNIK!$E$27=1,helper_ENERGIETECHNIK!$E$28=1)),ISBLANK(ENERGIETECHNIK!$M$60)))
), 1,
IF(AND(
ISBLANK(ENERGIETECHNIK!$E$60), OR(helper_ENERGIETECHNIK!$E$27=1,helper_ENERGIETECHNIK!$E$28=1),NOT(ISBLANK(ENERGIETECHNIK!$M$59)),NOT(ISBLANK(ENERGIETECHNIK!$M$60))
), 0, 0))))</f>
        <v>2</v>
      </c>
      <c r="C27" s="201" t="s">
        <v>206</v>
      </c>
      <c r="D27" s="201" t="b">
        <v>0</v>
      </c>
      <c r="E27" s="196">
        <f>IF(D27=TRUE,1,0)</f>
        <v>0</v>
      </c>
      <c r="G27" s="118" t="b">
        <f>AND(
NOT(ISBLANK(ENERGIETECHNIK!$E$60)),NOT(ISBLANK(ENERGIETECHNIK!$M$59)),AND(NOT(ISBLANK(ENERGIETECHNIK!$M$60)),OR(E27=1,E28=1))
)</f>
        <v>0</v>
      </c>
    </row>
    <row r="28" spans="1:7" x14ac:dyDescent="0.25">
      <c r="A28" s="197"/>
      <c r="B28" s="424"/>
      <c r="C28" s="202" t="s">
        <v>106</v>
      </c>
      <c r="D28" s="202" t="b">
        <v>0</v>
      </c>
      <c r="E28" s="199">
        <f>IF(D28=TRUE,1,0)</f>
        <v>0</v>
      </c>
    </row>
    <row r="29" spans="1:7" x14ac:dyDescent="0.25">
      <c r="A29" s="195" t="s">
        <v>99</v>
      </c>
      <c r="B29" s="423">
        <f>IF(AND(
ISBLANK(ENERGIETECHNIK!$E$65),ISBLANK(ENERGIETECHNIK!$M$64),ISBLANK(ENERGIETECHNIK!$M$65)
), 2,
IF(OR(
NOT(ISBLANK(ENERGIETECHNIK!$E$65)) * NOT(ISNUMBER(ENERGIETECHNIK!$E$65)),
NOT(ISBLANK(ENERGIETECHNIK!$M$64)) * NOT(ISNUMBER(ENERGIETECHNIK!$M$64)),
NOT(ISBLANK(ENERGIETECHNIK!$M$65)) * NOT(ISNUMBER(ENERGIETECHNIK!$M$65))
), 0,
IF(AND(
NOT(ISBLANK(ENERGIETECHNIK!$E$65)),NOT(ISBLANK(ENERGIETECHNIK!$M$64)),NOT(ISBLANK(ENERGIETECHNIK!$M$65))
), 1,
IF(AND(
ISBLANK(ENERGIETECHNIK!$E$65),NOT(ISBLANK(ENERGIETECHNIK!$M$64)),NOT(ISBLANK(ENERGIETECHNIK!$M$65))
), 0, 0))))</f>
        <v>2</v>
      </c>
      <c r="C29" s="201" t="s">
        <v>105</v>
      </c>
      <c r="D29" s="201" t="b">
        <v>0</v>
      </c>
      <c r="E29" s="196">
        <f t="shared" ref="E29:E30" si="0">IF(D29=TRUE,1,0)</f>
        <v>0</v>
      </c>
    </row>
    <row r="30" spans="1:7" x14ac:dyDescent="0.25">
      <c r="A30" s="197"/>
      <c r="B30" s="424"/>
      <c r="C30" s="202" t="s">
        <v>106</v>
      </c>
      <c r="D30" s="202" t="b">
        <v>0</v>
      </c>
      <c r="E30" s="199">
        <f t="shared" si="0"/>
        <v>0</v>
      </c>
    </row>
    <row r="32" spans="1:7" x14ac:dyDescent="0.25">
      <c r="A32" s="119" t="s">
        <v>116</v>
      </c>
      <c r="B32" s="121" t="s">
        <v>254</v>
      </c>
      <c r="C32" s="118" t="s">
        <v>217</v>
      </c>
    </row>
    <row r="33" spans="1:4" x14ac:dyDescent="0.25">
      <c r="A33" s="118" t="s">
        <v>119</v>
      </c>
      <c r="B33" s="120">
        <f>IF(
helper_ENERGIETECHNIK!$C33=0, 0,
IF(AND(
helper_ENERGIETECHNIK!$C33=1,ISBLANK(ENERGIETECHNIK!$G72),ISBLANK(ENERGIETECHNIK!$J72),ISBLANK(ENERGIETECHNIK!$M72),ISBLANK(ENERGIETECHNIK!$P72)
), 1,
IF(OR(
NOT(ISNUMBER(ENERGIETECHNIK!$G72)),NOT(ISNUMBER(ENERGIETECHNIK!$M72)),NOT(ISNUMBER(ENERGIETECHNIK!$P72)),ENERGIETECHNIK!$P72&lt;=0, ENERGIETECHNIK!$P72&gt;=100
), 0,
IF(AND(
helper_ENERGIETECHNIK!$C33=2,NOT(ISBLANK(ENERGIETECHNIK!$G72)),NOT(ISBLANK(ENERGIETECHNIK!$J72)),NOT(ISBLANK(ENERGIETECHNIK!$M72)),NOT(ISBLANK(ENERGIETECHNIK!$P72))
), 1, 0))))</f>
        <v>0</v>
      </c>
      <c r="C33" s="118">
        <v>0</v>
      </c>
      <c r="D33" s="118" t="s">
        <v>243</v>
      </c>
    </row>
    <row r="34" spans="1:4" x14ac:dyDescent="0.25">
      <c r="A34" s="118" t="s">
        <v>120</v>
      </c>
      <c r="B34" s="120">
        <f>IF(
helper_ENERGIETECHNIK!$C34=0, 0,
IF(AND(
helper_ENERGIETECHNIK!$C34=1,ISBLANK(ENERGIETECHNIK!$G73),ISBLANK(ENERGIETECHNIK!$J73),ISBLANK(ENERGIETECHNIK!$M73),ISBLANK(ENERGIETECHNIK!$P73)
), 1,
IF(OR(
NOT(ISNUMBER(ENERGIETECHNIK!$G73)),NOT(ISNUMBER(ENERGIETECHNIK!$M73)),NOT(ISNUMBER(ENERGIETECHNIK!$P73)),ENERGIETECHNIK!$P73&lt;=0, ENERGIETECHNIK!$P73&gt;=100
), 0,
IF(AND(
helper_ENERGIETECHNIK!$C34=2,NOT(ISBLANK(ENERGIETECHNIK!$G73)),NOT(ISBLANK(ENERGIETECHNIK!$J73)),NOT(ISBLANK(ENERGIETECHNIK!$M73)),NOT(ISBLANK(ENERGIETECHNIK!$P73))
), 1, 0))))</f>
        <v>0</v>
      </c>
      <c r="C34" s="118">
        <v>0</v>
      </c>
    </row>
    <row r="35" spans="1:4" x14ac:dyDescent="0.25">
      <c r="A35" s="118" t="s">
        <v>121</v>
      </c>
      <c r="B35" s="120">
        <f>IF(helper_ENERGIETECHNIK!$C$35=0,
     IF(AND(ISBLANK(ENERGIETECHNIK!$G$74), ISBLANK(ENERGIETECHNIK!$J$74), ISBLANK(ENERGIETECHNIK!$M$74), ISBLANK(ENERGIETECHNIK!$P$74)), 2, 0),
IF(helper_ENERGIETECHNIK!$C$35=1,
     IF(AND(ISBLANK(ENERGIETECHNIK!$G$74), ISBLANK(ENERGIETECHNIK!$J$74), ISBLANK(ENERGIETECHNIK!$M$74), ISBLANK(ENERGIETECHNIK!$P$74)), 1, 0),
IF(helper_ENERGIETECHNIK!$C$35=2,
     IF(AND(
         NOT(ISBLANK(ENERGIETECHNIK!$G$74)),
         NOT(ISBLANK(ENERGIETECHNIK!$J$74)),
         NOT(ISBLANK(ENERGIETECHNIK!$M$74)),
         NOT(ISBLANK(ENERGIETECHNIK!$P$74)),
         ISNUMBER(ENERGIETECHNIK!$G$74),
         ISNUMBER(ENERGIETECHNIK!$P$74),
         ENERGIETECHNIK!$P$74&gt;=0,
         ENERGIETECHNIK!$P$74&lt;=100
     ), 1, 0),
1)))</f>
        <v>2</v>
      </c>
      <c r="C35" s="118">
        <v>0</v>
      </c>
    </row>
    <row r="37" spans="1:4" x14ac:dyDescent="0.25">
      <c r="A37" s="118" t="s">
        <v>283</v>
      </c>
      <c r="B37" s="118" cm="1">
        <f t="array" ref="B37">IF(OR($B$2=0,$B$5:$B$9=0,$B$12:$B$14=0,$B$18=0,$B$22=0,$B$24=0,$B$25=0,$B$27=0,$B$29=0,$B$33:$B$35=0),0,1)</f>
        <v>0</v>
      </c>
    </row>
    <row r="40" spans="1:4" x14ac:dyDescent="0.25">
      <c r="A40" s="118" t="s">
        <v>490</v>
      </c>
    </row>
    <row r="41" spans="1:4" x14ac:dyDescent="0.25">
      <c r="A41" s="118" t="s">
        <v>491</v>
      </c>
      <c r="B41" s="118">
        <v>1</v>
      </c>
    </row>
    <row r="42" spans="1:4" x14ac:dyDescent="0.25">
      <c r="A42" s="118" t="s">
        <v>492</v>
      </c>
      <c r="B42" s="118">
        <v>1</v>
      </c>
    </row>
    <row r="43" spans="1:4" x14ac:dyDescent="0.25">
      <c r="A43" s="118" t="s">
        <v>493</v>
      </c>
      <c r="B43" s="118">
        <v>1</v>
      </c>
    </row>
    <row r="44" spans="1:4" x14ac:dyDescent="0.25">
      <c r="A44" s="118" t="s">
        <v>494</v>
      </c>
      <c r="B44" s="118">
        <v>1</v>
      </c>
    </row>
    <row r="45" spans="1:4" x14ac:dyDescent="0.25">
      <c r="A45" s="118" t="s">
        <v>495</v>
      </c>
      <c r="B45" s="118">
        <v>1</v>
      </c>
    </row>
    <row r="46" spans="1:4" x14ac:dyDescent="0.25">
      <c r="A46" s="118" t="s">
        <v>501</v>
      </c>
      <c r="B46" s="118">
        <v>1</v>
      </c>
    </row>
    <row r="47" spans="1:4" x14ac:dyDescent="0.25">
      <c r="A47" s="118" t="s">
        <v>496</v>
      </c>
      <c r="B47" s="118">
        <v>0</v>
      </c>
    </row>
    <row r="48" spans="1:4" x14ac:dyDescent="0.25">
      <c r="A48" s="118" t="s">
        <v>497</v>
      </c>
      <c r="B48" s="118">
        <v>0</v>
      </c>
    </row>
    <row r="49" spans="1:2" x14ac:dyDescent="0.25">
      <c r="A49" s="118" t="s">
        <v>498</v>
      </c>
      <c r="B49" s="118">
        <v>0</v>
      </c>
    </row>
    <row r="50" spans="1:2" x14ac:dyDescent="0.25">
      <c r="A50" s="118" t="s">
        <v>499</v>
      </c>
      <c r="B50" s="118">
        <v>0</v>
      </c>
    </row>
    <row r="51" spans="1:2" x14ac:dyDescent="0.25">
      <c r="A51" s="118" t="s">
        <v>500</v>
      </c>
      <c r="B51" s="118">
        <v>0</v>
      </c>
    </row>
  </sheetData>
  <sheetProtection algorithmName="SHA-512" hashValue="zBVqi8oyzqmPqscuSwTyhUbEN8R3vuUjpvNW93y7dmw6LyMOC5I3f5UeJh9Cv6bsG3n83FjUI1xynyjVRDrtSA==" saltValue="FjRaE57gL7KctR29zZ3R4Q==" spinCount="100000" sheet="1" scenarios="1" selectLockedCells="1" selectUnlockedCells="1"/>
  <mergeCells count="8">
    <mergeCell ref="C16:E16"/>
    <mergeCell ref="C17:E17"/>
    <mergeCell ref="B25:B26"/>
    <mergeCell ref="B27:B28"/>
    <mergeCell ref="B29:B30"/>
    <mergeCell ref="C21:E21"/>
    <mergeCell ref="B18:B19"/>
    <mergeCell ref="B22:B23"/>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A3634-AEF5-4AB2-A925-7AEC0F09CA00}">
  <sheetPr codeName="TAB30">
    <tabColor rgb="FFD3F3CE"/>
    <pageSetUpPr fitToPage="1"/>
  </sheetPr>
  <dimension ref="A1:R37"/>
  <sheetViews>
    <sheetView showGridLines="0" showRowColHeaders="0" workbookViewId="0">
      <selection activeCell="N23" sqref="N23:O23"/>
      <extLst>
        <ext xmlns:xlsdti="http://schemas.microsoft.com/office/spreadsheetml/2023/showDataTypeIcons" uri="{77bfe23e-c014-4d31-8a63-9c772dbf06b6}">
          <xlsdti:showDataTypeIcons visible="0"/>
        </ext>
      </extLst>
    </sheetView>
  </sheetViews>
  <sheetFormatPr defaultColWidth="11.42578125" defaultRowHeight="15" x14ac:dyDescent="0.25"/>
  <cols>
    <col min="1" max="1" width="5.140625" customWidth="1"/>
    <col min="2" max="3" width="2.85546875" customWidth="1"/>
    <col min="4" max="4" width="9.42578125" bestFit="1" customWidth="1"/>
    <col min="6" max="6" width="11.42578125" customWidth="1"/>
    <col min="7" max="7" width="3.42578125" customWidth="1"/>
    <col min="8" max="8" width="1.7109375" customWidth="1"/>
    <col min="9" max="9" width="5.140625" customWidth="1"/>
    <col min="10" max="10" width="2.85546875" customWidth="1"/>
    <col min="11" max="11" width="4.140625" customWidth="1"/>
    <col min="12" max="12" width="10.42578125" customWidth="1"/>
    <col min="13" max="14" width="5.7109375" customWidth="1"/>
    <col min="16" max="16" width="3.7109375" customWidth="1"/>
    <col min="17" max="17" width="2.85546875" customWidth="1"/>
  </cols>
  <sheetData>
    <row r="1" spans="1:18" x14ac:dyDescent="0.25">
      <c r="A1" s="301" t="s">
        <v>52</v>
      </c>
      <c r="B1" s="301"/>
      <c r="C1" s="301"/>
      <c r="D1" s="301"/>
      <c r="E1" s="301"/>
      <c r="F1" s="301"/>
      <c r="G1" s="301"/>
      <c r="H1" s="301"/>
      <c r="I1" s="301"/>
      <c r="J1" s="301"/>
      <c r="K1" s="301"/>
      <c r="L1" s="301"/>
      <c r="M1" s="301"/>
      <c r="N1" s="301"/>
      <c r="O1" s="301"/>
      <c r="P1" s="301"/>
      <c r="Q1" s="301"/>
    </row>
    <row r="2" spans="1:18" ht="11.25" customHeight="1" x14ac:dyDescent="0.25">
      <c r="A2" s="310"/>
      <c r="B2" s="310"/>
      <c r="C2" s="310"/>
      <c r="D2" s="310"/>
      <c r="E2" s="310"/>
      <c r="F2" s="310"/>
      <c r="G2" s="310"/>
      <c r="H2" s="310"/>
      <c r="I2" s="310"/>
      <c r="J2" s="310"/>
      <c r="K2" s="310"/>
      <c r="L2" s="310"/>
      <c r="M2" s="310"/>
      <c r="N2" s="310"/>
      <c r="O2" s="310"/>
      <c r="P2" s="310"/>
      <c r="Q2" s="6"/>
    </row>
    <row r="3" spans="1:18" ht="11.25" customHeight="1" x14ac:dyDescent="0.25">
      <c r="A3" s="458" t="s">
        <v>53</v>
      </c>
      <c r="B3" s="271"/>
      <c r="C3" s="271"/>
      <c r="D3" s="271"/>
      <c r="E3" s="271"/>
      <c r="F3" s="271"/>
      <c r="G3" s="271"/>
      <c r="H3" s="461"/>
      <c r="I3" s="232" t="s">
        <v>2</v>
      </c>
      <c r="J3" s="464"/>
      <c r="K3" s="464"/>
      <c r="L3" s="464"/>
      <c r="M3" s="464"/>
      <c r="N3" s="464"/>
      <c r="O3" s="464"/>
      <c r="P3" s="465"/>
      <c r="Q3" s="6"/>
    </row>
    <row r="4" spans="1:18" ht="15" customHeight="1" x14ac:dyDescent="0.25">
      <c r="A4" s="459"/>
      <c r="B4" s="219"/>
      <c r="C4" s="219"/>
      <c r="D4" s="219"/>
      <c r="E4" s="219"/>
      <c r="F4" s="219"/>
      <c r="G4" s="219"/>
      <c r="H4" s="462"/>
      <c r="I4" s="233"/>
      <c r="J4" s="78"/>
      <c r="K4" s="293"/>
      <c r="L4" s="294"/>
      <c r="M4" s="294"/>
      <c r="N4" s="294"/>
      <c r="O4" s="294"/>
      <c r="P4" s="295"/>
      <c r="Q4" s="21">
        <f>helper_PROZESSTECHNIK!$B$2</f>
        <v>0</v>
      </c>
    </row>
    <row r="5" spans="1:18" ht="9" customHeight="1" x14ac:dyDescent="0.25">
      <c r="A5" s="459"/>
      <c r="B5" s="219"/>
      <c r="C5" s="219"/>
      <c r="D5" s="219"/>
      <c r="E5" s="219"/>
      <c r="F5" s="219"/>
      <c r="G5" s="219"/>
      <c r="H5" s="462"/>
      <c r="I5" s="233"/>
      <c r="J5" s="2"/>
      <c r="K5" s="297" t="s">
        <v>6</v>
      </c>
      <c r="L5" s="297"/>
      <c r="M5" s="297"/>
      <c r="N5" s="297"/>
      <c r="O5" s="297"/>
      <c r="P5" s="298"/>
      <c r="Q5" s="6"/>
    </row>
    <row r="6" spans="1:18" x14ac:dyDescent="0.25">
      <c r="A6" s="459"/>
      <c r="B6" s="219"/>
      <c r="C6" s="219"/>
      <c r="D6" s="219"/>
      <c r="E6" s="219"/>
      <c r="F6" s="219"/>
      <c r="G6" s="219"/>
      <c r="H6" s="462"/>
      <c r="I6" s="233"/>
      <c r="J6" s="2"/>
      <c r="K6" s="293"/>
      <c r="L6" s="294"/>
      <c r="M6" s="294"/>
      <c r="N6" s="294"/>
      <c r="O6" s="294"/>
      <c r="P6" s="295"/>
      <c r="Q6" s="6"/>
    </row>
    <row r="7" spans="1:18" ht="9" customHeight="1" x14ac:dyDescent="0.25">
      <c r="A7" s="459"/>
      <c r="B7" s="219"/>
      <c r="C7" s="219"/>
      <c r="D7" s="219"/>
      <c r="E7" s="219"/>
      <c r="F7" s="219"/>
      <c r="G7" s="219"/>
      <c r="H7" s="462"/>
      <c r="I7" s="233"/>
      <c r="J7" s="2"/>
      <c r="K7" s="297" t="s">
        <v>7</v>
      </c>
      <c r="L7" s="297" t="s">
        <v>7</v>
      </c>
      <c r="M7" s="297"/>
      <c r="N7" s="297"/>
      <c r="O7" s="297"/>
      <c r="P7" s="298"/>
      <c r="Q7" s="6"/>
    </row>
    <row r="8" spans="1:18" x14ac:dyDescent="0.25">
      <c r="A8" s="459"/>
      <c r="B8" s="219"/>
      <c r="C8" s="219"/>
      <c r="D8" s="219"/>
      <c r="E8" s="219"/>
      <c r="F8" s="219"/>
      <c r="G8" s="219"/>
      <c r="H8" s="462"/>
      <c r="I8" s="233"/>
      <c r="J8" s="2"/>
      <c r="K8" s="293"/>
      <c r="L8" s="294"/>
      <c r="M8" s="294"/>
      <c r="N8" s="294"/>
      <c r="O8" s="294"/>
      <c r="P8" s="295"/>
      <c r="Q8" s="6"/>
    </row>
    <row r="9" spans="1:18" ht="9" customHeight="1" x14ac:dyDescent="0.25">
      <c r="A9" s="459"/>
      <c r="B9" s="219"/>
      <c r="C9" s="219"/>
      <c r="D9" s="219"/>
      <c r="E9" s="219"/>
      <c r="F9" s="219"/>
      <c r="G9" s="219"/>
      <c r="H9" s="462"/>
      <c r="I9" s="233"/>
      <c r="J9" s="2"/>
      <c r="K9" s="297" t="s">
        <v>8</v>
      </c>
      <c r="L9" s="297" t="s">
        <v>8</v>
      </c>
      <c r="M9" s="297"/>
      <c r="N9" s="297"/>
      <c r="O9" s="297"/>
      <c r="P9" s="298"/>
      <c r="Q9" s="6"/>
    </row>
    <row r="10" spans="1:18" x14ac:dyDescent="0.25">
      <c r="A10" s="459"/>
      <c r="B10" s="219"/>
      <c r="C10" s="219"/>
      <c r="D10" s="219"/>
      <c r="E10" s="219"/>
      <c r="F10" s="219"/>
      <c r="G10" s="219"/>
      <c r="H10" s="462"/>
      <c r="I10" s="233"/>
      <c r="J10" s="2"/>
      <c r="K10" s="293"/>
      <c r="L10" s="294"/>
      <c r="M10" s="294"/>
      <c r="N10" s="294"/>
      <c r="O10" s="294"/>
      <c r="P10" s="295"/>
      <c r="Q10" s="6"/>
    </row>
    <row r="11" spans="1:18" ht="9" customHeight="1" x14ac:dyDescent="0.25">
      <c r="A11" s="459"/>
      <c r="B11" s="219"/>
      <c r="C11" s="219"/>
      <c r="D11" s="219"/>
      <c r="E11" s="219"/>
      <c r="F11" s="219"/>
      <c r="G11" s="219"/>
      <c r="H11" s="462"/>
      <c r="I11" s="233"/>
      <c r="J11" s="2"/>
      <c r="K11" s="299" t="s">
        <v>9</v>
      </c>
      <c r="L11" s="299" t="s">
        <v>9</v>
      </c>
      <c r="M11" s="299"/>
      <c r="N11" s="299"/>
      <c r="O11" s="299"/>
      <c r="P11" s="300"/>
      <c r="Q11" s="6"/>
    </row>
    <row r="12" spans="1:18" ht="15" customHeight="1" x14ac:dyDescent="0.25">
      <c r="A12" s="459"/>
      <c r="B12" s="219"/>
      <c r="C12" s="219"/>
      <c r="D12" s="219"/>
      <c r="E12" s="219"/>
      <c r="F12" s="219"/>
      <c r="G12" s="219"/>
      <c r="H12" s="462"/>
      <c r="I12" s="233"/>
      <c r="J12" s="2"/>
      <c r="K12" s="293"/>
      <c r="L12" s="294"/>
      <c r="M12" s="294"/>
      <c r="N12" s="294"/>
      <c r="O12" s="294"/>
      <c r="P12" s="295"/>
      <c r="Q12" s="6"/>
    </row>
    <row r="13" spans="1:18" ht="9" customHeight="1" x14ac:dyDescent="0.25">
      <c r="A13" s="460"/>
      <c r="B13" s="220"/>
      <c r="C13" s="220"/>
      <c r="D13" s="220"/>
      <c r="E13" s="220"/>
      <c r="F13" s="220"/>
      <c r="G13" s="220"/>
      <c r="H13" s="463"/>
      <c r="I13" s="275"/>
      <c r="J13" s="3"/>
      <c r="K13" s="299" t="s">
        <v>27</v>
      </c>
      <c r="L13" s="299"/>
      <c r="M13" s="299"/>
      <c r="N13" s="299"/>
      <c r="O13" s="299"/>
      <c r="P13" s="300"/>
      <c r="Q13" s="6"/>
    </row>
    <row r="14" spans="1:18" ht="11.25" customHeight="1" x14ac:dyDescent="0.25">
      <c r="A14" s="279"/>
      <c r="B14" s="279"/>
      <c r="C14" s="279"/>
      <c r="D14" s="279"/>
      <c r="E14" s="279"/>
      <c r="F14" s="279"/>
      <c r="G14" s="279"/>
      <c r="H14" s="279"/>
      <c r="I14" s="279"/>
      <c r="J14" s="279"/>
      <c r="K14" s="279"/>
      <c r="L14" s="279"/>
      <c r="M14" s="279"/>
      <c r="N14" s="279"/>
      <c r="O14" s="279"/>
      <c r="P14" s="279"/>
      <c r="Q14" s="13"/>
      <c r="R14" s="14"/>
    </row>
    <row r="15" spans="1:18" ht="15" customHeight="1" x14ac:dyDescent="0.25">
      <c r="A15" s="272" t="s">
        <v>54</v>
      </c>
      <c r="B15" s="259"/>
      <c r="C15" s="259"/>
      <c r="D15" s="259"/>
      <c r="E15" s="259"/>
      <c r="F15" s="259"/>
      <c r="G15" s="259"/>
      <c r="H15" s="259"/>
      <c r="I15" s="324" t="s">
        <v>18</v>
      </c>
      <c r="J15" s="324"/>
      <c r="K15" s="324"/>
      <c r="L15" s="47" t="s">
        <v>19</v>
      </c>
      <c r="M15" s="280" t="s">
        <v>38</v>
      </c>
      <c r="N15" s="280"/>
      <c r="O15" s="280"/>
      <c r="P15" s="280"/>
      <c r="Q15" s="13"/>
    </row>
    <row r="16" spans="1:18" ht="15" customHeight="1" x14ac:dyDescent="0.25">
      <c r="A16" s="273"/>
      <c r="B16" s="271" t="s">
        <v>124</v>
      </c>
      <c r="C16" s="271"/>
      <c r="D16" s="271"/>
      <c r="E16" s="271"/>
      <c r="F16" s="271"/>
      <c r="G16" s="271"/>
      <c r="H16" s="271"/>
      <c r="I16" s="454"/>
      <c r="J16" s="454"/>
      <c r="K16" s="454"/>
      <c r="L16" s="455"/>
      <c r="M16" s="448" t="s">
        <v>131</v>
      </c>
      <c r="N16" s="449"/>
      <c r="O16" s="449"/>
      <c r="P16" s="450"/>
      <c r="Q16" s="341">
        <f>helper_PROZESSTECHNIK!$B$5</f>
        <v>0</v>
      </c>
    </row>
    <row r="17" spans="1:17" ht="30" customHeight="1" x14ac:dyDescent="0.25">
      <c r="A17" s="273"/>
      <c r="B17" s="220"/>
      <c r="C17" s="220"/>
      <c r="D17" s="220"/>
      <c r="E17" s="220"/>
      <c r="F17" s="220"/>
      <c r="G17" s="220"/>
      <c r="H17" s="220"/>
      <c r="I17" s="456"/>
      <c r="J17" s="456"/>
      <c r="K17" s="456"/>
      <c r="L17" s="457"/>
      <c r="M17" s="321"/>
      <c r="N17" s="322"/>
      <c r="O17" s="322"/>
      <c r="P17" s="323"/>
      <c r="Q17" s="341"/>
    </row>
    <row r="18" spans="1:17" ht="15" customHeight="1" x14ac:dyDescent="0.25">
      <c r="A18" s="273"/>
      <c r="B18" s="271" t="s">
        <v>125</v>
      </c>
      <c r="C18" s="271"/>
      <c r="D18" s="271"/>
      <c r="E18" s="271"/>
      <c r="F18" s="271"/>
      <c r="G18" s="271"/>
      <c r="H18" s="271"/>
      <c r="I18" s="14"/>
      <c r="J18" s="14"/>
      <c r="K18" s="14"/>
      <c r="M18" s="451" t="s">
        <v>131</v>
      </c>
      <c r="N18" s="451"/>
      <c r="O18" s="451"/>
      <c r="P18" s="452"/>
      <c r="Q18" s="341">
        <f>helper_PROZESSTECHNIK!$B$6</f>
        <v>0</v>
      </c>
    </row>
    <row r="19" spans="1:17" ht="30" customHeight="1" x14ac:dyDescent="0.25">
      <c r="A19" s="273"/>
      <c r="B19" s="220"/>
      <c r="C19" s="220"/>
      <c r="D19" s="220"/>
      <c r="E19" s="220"/>
      <c r="F19" s="220"/>
      <c r="G19" s="220"/>
      <c r="H19" s="220"/>
      <c r="M19" s="322"/>
      <c r="N19" s="322"/>
      <c r="O19" s="322"/>
      <c r="P19" s="323"/>
      <c r="Q19" s="341"/>
    </row>
    <row r="20" spans="1:17" ht="30" customHeight="1" x14ac:dyDescent="0.25">
      <c r="A20" s="273"/>
      <c r="B20" s="355" t="s">
        <v>126</v>
      </c>
      <c r="C20" s="355"/>
      <c r="D20" s="355"/>
      <c r="E20" s="355"/>
      <c r="F20" s="355"/>
      <c r="G20" s="355"/>
      <c r="H20" s="355"/>
      <c r="I20" s="214"/>
      <c r="J20" s="214"/>
      <c r="K20" s="214"/>
      <c r="L20" s="214"/>
      <c r="M20" s="219"/>
      <c r="N20" s="219"/>
      <c r="O20" s="219"/>
      <c r="P20" s="453"/>
      <c r="Q20" s="21">
        <f>helper_PROZESSTECHNIK!$B$7</f>
        <v>0</v>
      </c>
    </row>
    <row r="21" spans="1:17" ht="30" customHeight="1" x14ac:dyDescent="0.25">
      <c r="A21" s="273"/>
      <c r="B21" s="355" t="s">
        <v>127</v>
      </c>
      <c r="C21" s="355"/>
      <c r="D21" s="355"/>
      <c r="E21" s="355"/>
      <c r="F21" s="355"/>
      <c r="G21" s="355"/>
      <c r="H21" s="355"/>
      <c r="I21" s="214"/>
      <c r="J21" s="214"/>
      <c r="K21" s="214"/>
      <c r="L21" s="214"/>
      <c r="M21" s="5"/>
      <c r="N21" s="373" t="s">
        <v>37</v>
      </c>
      <c r="O21" s="373"/>
      <c r="P21" s="374"/>
      <c r="Q21" s="21">
        <f>helper_PROZESSTECHNIK!$B$8</f>
        <v>0</v>
      </c>
    </row>
    <row r="22" spans="1:17" ht="30" customHeight="1" x14ac:dyDescent="0.25">
      <c r="A22" s="273"/>
      <c r="B22" s="355" t="s">
        <v>128</v>
      </c>
      <c r="C22" s="355"/>
      <c r="D22" s="355"/>
      <c r="E22" s="355"/>
      <c r="F22" s="355"/>
      <c r="G22" s="355"/>
      <c r="H22" s="49"/>
      <c r="I22" s="79"/>
      <c r="J22" s="79"/>
      <c r="K22" s="79"/>
      <c r="L22" s="23"/>
      <c r="M22" s="80"/>
      <c r="N22" s="221"/>
      <c r="O22" s="223"/>
      <c r="P22" s="45" t="s">
        <v>23</v>
      </c>
      <c r="Q22" s="21">
        <f>helper_PROZESSTECHNIK!$B$9</f>
        <v>0</v>
      </c>
    </row>
    <row r="23" spans="1:17" ht="30" customHeight="1" x14ac:dyDescent="0.25">
      <c r="A23" s="274"/>
      <c r="B23" s="355" t="s">
        <v>129</v>
      </c>
      <c r="C23" s="355"/>
      <c r="D23" s="355"/>
      <c r="E23" s="355"/>
      <c r="F23" s="355"/>
      <c r="G23" s="355"/>
      <c r="H23" s="355"/>
      <c r="I23" s="445"/>
      <c r="J23" s="445"/>
      <c r="K23" s="445"/>
      <c r="L23" s="23"/>
      <c r="M23" s="81"/>
      <c r="N23" s="446"/>
      <c r="O23" s="447"/>
      <c r="P23" s="58" t="s">
        <v>130</v>
      </c>
      <c r="Q23" s="21">
        <f>helper_PROZESSTECHNIK!$B$10</f>
        <v>0</v>
      </c>
    </row>
    <row r="24" spans="1:17" ht="11.25" customHeight="1" x14ac:dyDescent="0.25">
      <c r="A24" s="311"/>
      <c r="B24" s="311"/>
      <c r="C24" s="311"/>
      <c r="D24" s="311"/>
      <c r="E24" s="311"/>
      <c r="F24" s="311"/>
      <c r="G24" s="311"/>
      <c r="H24" s="311"/>
      <c r="I24" s="311"/>
      <c r="J24" s="311"/>
      <c r="K24" s="311"/>
      <c r="L24" s="311"/>
      <c r="M24" s="311"/>
      <c r="N24" s="311"/>
      <c r="O24" s="311"/>
      <c r="P24" s="311"/>
      <c r="Q24" s="6"/>
    </row>
    <row r="25" spans="1:17" ht="60" customHeight="1" x14ac:dyDescent="0.25">
      <c r="A25" s="272" t="s">
        <v>132</v>
      </c>
      <c r="B25" s="271" t="s">
        <v>368</v>
      </c>
      <c r="C25" s="271"/>
      <c r="D25" s="271"/>
      <c r="E25" s="271"/>
      <c r="F25" s="271"/>
      <c r="G25" s="271"/>
      <c r="H25" s="271"/>
      <c r="I25" s="271"/>
      <c r="J25" s="271"/>
      <c r="K25" s="271"/>
      <c r="L25" s="271"/>
      <c r="M25" s="271"/>
      <c r="N25" s="271"/>
      <c r="O25" s="271"/>
      <c r="P25" s="442"/>
      <c r="Q25" s="21">
        <f>helper_PROZESSTECHNIK!$B$13</f>
        <v>0</v>
      </c>
    </row>
    <row r="26" spans="1:17" ht="26.25" customHeight="1" x14ac:dyDescent="0.25">
      <c r="A26" s="273"/>
      <c r="B26" s="139" t="s">
        <v>332</v>
      </c>
      <c r="C26" s="443" t="s">
        <v>331</v>
      </c>
      <c r="D26" s="443"/>
      <c r="E26" s="443"/>
      <c r="F26" s="443"/>
      <c r="G26" s="443"/>
      <c r="H26" s="443"/>
      <c r="I26" s="443"/>
      <c r="J26" s="443"/>
      <c r="K26" s="443"/>
      <c r="L26" s="443"/>
      <c r="M26" s="443"/>
      <c r="N26" s="444"/>
      <c r="O26" s="433"/>
      <c r="P26" s="434"/>
      <c r="Q26" s="21">
        <f>helper_PROZESSTECHNIK!$B14</f>
        <v>0</v>
      </c>
    </row>
    <row r="27" spans="1:17" ht="26.25" customHeight="1" x14ac:dyDescent="0.25">
      <c r="A27" s="273"/>
      <c r="B27" s="140" t="s">
        <v>333</v>
      </c>
      <c r="C27" s="426" t="s">
        <v>337</v>
      </c>
      <c r="D27" s="426"/>
      <c r="E27" s="426"/>
      <c r="F27" s="426"/>
      <c r="G27" s="426"/>
      <c r="H27" s="426"/>
      <c r="I27" s="426"/>
      <c r="J27" s="426"/>
      <c r="K27" s="426"/>
      <c r="L27" s="426"/>
      <c r="M27" s="426"/>
      <c r="N27" s="427"/>
      <c r="O27" s="433"/>
      <c r="P27" s="434"/>
      <c r="Q27" s="21">
        <f>helper_PROZESSTECHNIK!$B15</f>
        <v>0</v>
      </c>
    </row>
    <row r="28" spans="1:17" ht="27" customHeight="1" x14ac:dyDescent="0.25">
      <c r="A28" s="273"/>
      <c r="B28" s="140" t="s">
        <v>333</v>
      </c>
      <c r="C28" s="426" t="s">
        <v>336</v>
      </c>
      <c r="D28" s="426"/>
      <c r="E28" s="426"/>
      <c r="F28" s="426"/>
      <c r="G28" s="426"/>
      <c r="H28" s="426"/>
      <c r="I28" s="426"/>
      <c r="J28" s="426"/>
      <c r="K28" s="426"/>
      <c r="L28" s="426"/>
      <c r="M28" s="426"/>
      <c r="N28" s="427"/>
      <c r="O28" s="433"/>
      <c r="P28" s="434"/>
      <c r="Q28" s="21">
        <f>helper_PROZESSTECHNIK!$B16</f>
        <v>0</v>
      </c>
    </row>
    <row r="29" spans="1:17" ht="26.25" customHeight="1" x14ac:dyDescent="0.25">
      <c r="A29" s="273"/>
      <c r="B29" s="140" t="s">
        <v>333</v>
      </c>
      <c r="C29" s="426" t="s">
        <v>335</v>
      </c>
      <c r="D29" s="426"/>
      <c r="E29" s="426"/>
      <c r="F29" s="426"/>
      <c r="G29" s="426"/>
      <c r="H29" s="426"/>
      <c r="I29" s="426"/>
      <c r="J29" s="426"/>
      <c r="K29" s="426"/>
      <c r="L29" s="426"/>
      <c r="M29" s="426"/>
      <c r="N29" s="427"/>
      <c r="O29" s="433"/>
      <c r="P29" s="434"/>
      <c r="Q29" s="21">
        <f>helper_PROZESSTECHNIK!$B17</f>
        <v>0</v>
      </c>
    </row>
    <row r="30" spans="1:17" ht="26.25" customHeight="1" x14ac:dyDescent="0.25">
      <c r="A30" s="273"/>
      <c r="B30" s="140" t="s">
        <v>333</v>
      </c>
      <c r="C30" s="428" t="s">
        <v>334</v>
      </c>
      <c r="D30" s="428"/>
      <c r="E30" s="428"/>
      <c r="F30" s="428"/>
      <c r="G30" s="428"/>
      <c r="H30" s="428"/>
      <c r="I30" s="428"/>
      <c r="J30" s="428"/>
      <c r="K30" s="428"/>
      <c r="L30" s="428"/>
      <c r="M30" s="428"/>
      <c r="N30" s="429"/>
      <c r="O30" s="435"/>
      <c r="P30" s="436"/>
      <c r="Q30" s="21">
        <f>helper_PROZESSTECHNIK!$B18</f>
        <v>0</v>
      </c>
    </row>
    <row r="31" spans="1:17" ht="38.25" x14ac:dyDescent="0.25">
      <c r="A31" s="274"/>
      <c r="B31" s="76" t="s">
        <v>11</v>
      </c>
      <c r="C31" s="437"/>
      <c r="D31" s="438"/>
      <c r="E31" s="438"/>
      <c r="F31" s="438"/>
      <c r="G31" s="438"/>
      <c r="H31" s="438"/>
      <c r="I31" s="438"/>
      <c r="J31" s="438"/>
      <c r="K31" s="438"/>
      <c r="L31" s="438"/>
      <c r="M31" s="438"/>
      <c r="N31" s="438"/>
      <c r="O31" s="438"/>
      <c r="P31" s="439"/>
      <c r="Q31" s="6"/>
    </row>
    <row r="32" spans="1:17" ht="11.25" customHeight="1" x14ac:dyDescent="0.25">
      <c r="A32" s="311"/>
      <c r="B32" s="311"/>
      <c r="C32" s="311"/>
      <c r="D32" s="311"/>
      <c r="E32" s="311"/>
      <c r="F32" s="311"/>
      <c r="G32" s="311"/>
      <c r="H32" s="311"/>
      <c r="I32" s="311"/>
      <c r="J32" s="311"/>
      <c r="K32" s="311"/>
      <c r="L32" s="311"/>
      <c r="M32" s="311"/>
      <c r="N32" s="311"/>
      <c r="O32" s="311"/>
      <c r="P32" s="311"/>
      <c r="Q32" s="311"/>
    </row>
    <row r="33" spans="1:17" ht="102" customHeight="1" x14ac:dyDescent="0.25">
      <c r="A33" s="124" t="s">
        <v>282</v>
      </c>
      <c r="B33" s="126" t="s">
        <v>11</v>
      </c>
      <c r="C33" s="430" t="s">
        <v>281</v>
      </c>
      <c r="D33" s="431"/>
      <c r="E33" s="431"/>
      <c r="F33" s="431"/>
      <c r="G33" s="431"/>
      <c r="H33" s="431"/>
      <c r="I33" s="431"/>
      <c r="J33" s="431"/>
      <c r="K33" s="431"/>
      <c r="L33" s="431"/>
      <c r="M33" s="431"/>
      <c r="N33" s="431"/>
      <c r="O33" s="431"/>
      <c r="P33" s="432"/>
      <c r="Q33" s="125"/>
    </row>
    <row r="34" spans="1:17" ht="11.25" customHeight="1" x14ac:dyDescent="0.25">
      <c r="A34" s="311"/>
      <c r="B34" s="311"/>
      <c r="C34" s="311"/>
      <c r="D34" s="311"/>
      <c r="E34" s="311"/>
      <c r="F34" s="311"/>
      <c r="G34" s="311"/>
      <c r="H34" s="311"/>
      <c r="I34" s="311"/>
      <c r="J34" s="311"/>
      <c r="K34" s="311"/>
      <c r="L34" s="311"/>
      <c r="M34" s="311"/>
      <c r="N34" s="311"/>
      <c r="O34" s="311"/>
      <c r="P34" s="311"/>
      <c r="Q34" s="311"/>
    </row>
    <row r="35" spans="1:17" ht="15" customHeight="1" x14ac:dyDescent="0.25">
      <c r="A35" s="272" t="s">
        <v>133</v>
      </c>
      <c r="B35" s="337" t="s">
        <v>138</v>
      </c>
      <c r="C35" s="337"/>
      <c r="D35" s="337"/>
      <c r="E35" s="337"/>
      <c r="F35" s="337"/>
      <c r="G35" s="337"/>
      <c r="H35" s="337"/>
      <c r="I35" s="337"/>
      <c r="J35" s="337"/>
      <c r="K35" s="337"/>
      <c r="L35" s="337"/>
      <c r="M35" s="337"/>
      <c r="N35" s="337"/>
      <c r="O35" s="337"/>
      <c r="P35" s="440"/>
      <c r="Q35" s="6"/>
    </row>
    <row r="36" spans="1:17" ht="135" customHeight="1" x14ac:dyDescent="0.25">
      <c r="A36" s="274"/>
      <c r="B36" s="76" t="s">
        <v>11</v>
      </c>
      <c r="C36" s="441"/>
      <c r="D36" s="339"/>
      <c r="E36" s="339"/>
      <c r="F36" s="339"/>
      <c r="G36" s="339"/>
      <c r="H36" s="339"/>
      <c r="I36" s="339"/>
      <c r="J36" s="339"/>
      <c r="K36" s="339"/>
      <c r="L36" s="339"/>
      <c r="M36" s="339"/>
      <c r="N36" s="339"/>
      <c r="O36" s="339"/>
      <c r="P36" s="340"/>
      <c r="Q36" s="6"/>
    </row>
    <row r="37" spans="1:17" x14ac:dyDescent="0.25">
      <c r="A37" s="311"/>
      <c r="B37" s="311"/>
      <c r="C37" s="311"/>
      <c r="D37" s="311"/>
      <c r="E37" s="311"/>
      <c r="F37" s="311"/>
      <c r="G37" s="311"/>
      <c r="H37" s="311"/>
      <c r="I37" s="311"/>
      <c r="J37" s="311"/>
      <c r="K37" s="311"/>
      <c r="L37" s="311"/>
      <c r="M37" s="311"/>
      <c r="N37" s="311"/>
      <c r="O37" s="311"/>
      <c r="P37" s="311"/>
      <c r="Q37" s="311"/>
    </row>
  </sheetData>
  <sheetProtection algorithmName="SHA-512" hashValue="e5hX0MaqjRkTpdHRLf4dpfGIMDaeIS5odaJh4pKb73HPFmG5JsjE9mpVBiNBVgRP7pAJd5W2Zzh3zdML0ixlMg==" saltValue="DO4j8Gp/6J/mtBmPV/JFmw==" spinCount="100000" sheet="1" objects="1" scenarios="1" selectLockedCells="1"/>
  <mergeCells count="62">
    <mergeCell ref="Q16:Q17"/>
    <mergeCell ref="Q18:Q19"/>
    <mergeCell ref="I16:L17"/>
    <mergeCell ref="B16:H17"/>
    <mergeCell ref="A1:Q1"/>
    <mergeCell ref="A2:P2"/>
    <mergeCell ref="K4:P4"/>
    <mergeCell ref="K5:P5"/>
    <mergeCell ref="K6:P6"/>
    <mergeCell ref="A3:G13"/>
    <mergeCell ref="H3:H13"/>
    <mergeCell ref="I3:I13"/>
    <mergeCell ref="J3:P3"/>
    <mergeCell ref="K7:P7"/>
    <mergeCell ref="K8:P8"/>
    <mergeCell ref="K9:P9"/>
    <mergeCell ref="K10:P10"/>
    <mergeCell ref="K11:P11"/>
    <mergeCell ref="K12:P12"/>
    <mergeCell ref="K13:P13"/>
    <mergeCell ref="A14:P14"/>
    <mergeCell ref="I20:L20"/>
    <mergeCell ref="I21:L21"/>
    <mergeCell ref="M18:P18"/>
    <mergeCell ref="B15:H15"/>
    <mergeCell ref="B22:G22"/>
    <mergeCell ref="M17:P17"/>
    <mergeCell ref="M19:P19"/>
    <mergeCell ref="M20:P20"/>
    <mergeCell ref="N22:O22"/>
    <mergeCell ref="O26:P26"/>
    <mergeCell ref="O27:P27"/>
    <mergeCell ref="O28:P28"/>
    <mergeCell ref="C26:N26"/>
    <mergeCell ref="B23:H23"/>
    <mergeCell ref="I23:K23"/>
    <mergeCell ref="N23:O23"/>
    <mergeCell ref="A24:P24"/>
    <mergeCell ref="A15:A23"/>
    <mergeCell ref="B18:H19"/>
    <mergeCell ref="I15:K15"/>
    <mergeCell ref="M15:P15"/>
    <mergeCell ref="B20:H20"/>
    <mergeCell ref="B21:H21"/>
    <mergeCell ref="N21:P21"/>
    <mergeCell ref="M16:P16"/>
    <mergeCell ref="C27:N27"/>
    <mergeCell ref="C28:N28"/>
    <mergeCell ref="C29:N29"/>
    <mergeCell ref="C30:N30"/>
    <mergeCell ref="A37:Q37"/>
    <mergeCell ref="C33:P33"/>
    <mergeCell ref="A34:Q34"/>
    <mergeCell ref="O29:P29"/>
    <mergeCell ref="O30:P30"/>
    <mergeCell ref="C31:P31"/>
    <mergeCell ref="A32:Q32"/>
    <mergeCell ref="B35:P35"/>
    <mergeCell ref="A35:A36"/>
    <mergeCell ref="C36:P36"/>
    <mergeCell ref="A25:A31"/>
    <mergeCell ref="B25:P25"/>
  </mergeCells>
  <printOptions horizontalCentered="1"/>
  <pageMargins left="0.70866141732283472" right="0.70866141732283472" top="0.74803149606299213" bottom="0.74803149606299213" header="0.31496062992125984" footer="0.31496062992125984"/>
  <pageSetup paperSize="9" scale="86" fitToHeight="0" orientation="portrait" verticalDpi="0" r:id="rId1"/>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4" r:id="rId4" name="Check Box 14">
              <controlPr defaultSize="0" autoFill="0" autoLine="0" autoPict="0">
                <anchor moveWithCells="1">
                  <from>
                    <xdr:col>12</xdr:col>
                    <xdr:colOff>114300</xdr:colOff>
                    <xdr:row>19</xdr:row>
                    <xdr:rowOff>352425</xdr:rowOff>
                  </from>
                  <to>
                    <xdr:col>13</xdr:col>
                    <xdr:colOff>114300</xdr:colOff>
                    <xdr:row>21</xdr:row>
                    <xdr:rowOff>28575</xdr:rowOff>
                  </to>
                </anchor>
              </controlPr>
            </control>
          </mc:Choice>
        </mc:AlternateContent>
        <mc:AlternateContent xmlns:mc="http://schemas.openxmlformats.org/markup-compatibility/2006">
          <mc:Choice Requires="x14">
            <control shapeId="10255" r:id="rId5" name="Option Button 15">
              <controlPr defaultSize="0" autoFill="0" autoLine="0" autoPict="0">
                <anchor moveWithCells="1">
                  <from>
                    <xdr:col>8</xdr:col>
                    <xdr:colOff>304800</xdr:colOff>
                    <xdr:row>15</xdr:row>
                    <xdr:rowOff>114300</xdr:rowOff>
                  </from>
                  <to>
                    <xdr:col>10</xdr:col>
                    <xdr:colOff>76200</xdr:colOff>
                    <xdr:row>16</xdr:row>
                    <xdr:rowOff>257175</xdr:rowOff>
                  </to>
                </anchor>
              </controlPr>
            </control>
          </mc:Choice>
        </mc:AlternateContent>
        <mc:AlternateContent xmlns:mc="http://schemas.openxmlformats.org/markup-compatibility/2006">
          <mc:Choice Requires="x14">
            <control shapeId="10256" r:id="rId6" name="Option Button 16">
              <controlPr defaultSize="0" autoFill="0" autoLine="0" autoPict="0">
                <anchor moveWithCells="1">
                  <from>
                    <xdr:col>11</xdr:col>
                    <xdr:colOff>238125</xdr:colOff>
                    <xdr:row>15</xdr:row>
                    <xdr:rowOff>114300</xdr:rowOff>
                  </from>
                  <to>
                    <xdr:col>11</xdr:col>
                    <xdr:colOff>542925</xdr:colOff>
                    <xdr:row>16</xdr:row>
                    <xdr:rowOff>257175</xdr:rowOff>
                  </to>
                </anchor>
              </controlPr>
            </control>
          </mc:Choice>
        </mc:AlternateContent>
        <mc:AlternateContent xmlns:mc="http://schemas.openxmlformats.org/markup-compatibility/2006">
          <mc:Choice Requires="x14">
            <control shapeId="10258" r:id="rId7" name="Option Button 18">
              <controlPr defaultSize="0" autoFill="0" autoLine="0" autoPict="0">
                <anchor moveWithCells="1">
                  <from>
                    <xdr:col>8</xdr:col>
                    <xdr:colOff>304800</xdr:colOff>
                    <xdr:row>17</xdr:row>
                    <xdr:rowOff>123825</xdr:rowOff>
                  </from>
                  <to>
                    <xdr:col>10</xdr:col>
                    <xdr:colOff>76200</xdr:colOff>
                    <xdr:row>18</xdr:row>
                    <xdr:rowOff>257175</xdr:rowOff>
                  </to>
                </anchor>
              </controlPr>
            </control>
          </mc:Choice>
        </mc:AlternateContent>
        <mc:AlternateContent xmlns:mc="http://schemas.openxmlformats.org/markup-compatibility/2006">
          <mc:Choice Requires="x14">
            <control shapeId="10259" r:id="rId8" name="Option Button 19">
              <controlPr defaultSize="0" autoFill="0" autoLine="0" autoPict="0">
                <anchor moveWithCells="1">
                  <from>
                    <xdr:col>11</xdr:col>
                    <xdr:colOff>238125</xdr:colOff>
                    <xdr:row>17</xdr:row>
                    <xdr:rowOff>123825</xdr:rowOff>
                  </from>
                  <to>
                    <xdr:col>11</xdr:col>
                    <xdr:colOff>542925</xdr:colOff>
                    <xdr:row>18</xdr:row>
                    <xdr:rowOff>257175</xdr:rowOff>
                  </to>
                </anchor>
              </controlPr>
            </control>
          </mc:Choice>
        </mc:AlternateContent>
        <mc:AlternateContent xmlns:mc="http://schemas.openxmlformats.org/markup-compatibility/2006">
          <mc:Choice Requires="x14">
            <control shapeId="10260" r:id="rId9" name="Option Button 20">
              <controlPr defaultSize="0" autoFill="0" autoLine="0" autoPict="0">
                <anchor moveWithCells="1">
                  <from>
                    <xdr:col>8</xdr:col>
                    <xdr:colOff>304800</xdr:colOff>
                    <xdr:row>19</xdr:row>
                    <xdr:rowOff>85725</xdr:rowOff>
                  </from>
                  <to>
                    <xdr:col>10</xdr:col>
                    <xdr:colOff>76200</xdr:colOff>
                    <xdr:row>19</xdr:row>
                    <xdr:rowOff>304800</xdr:rowOff>
                  </to>
                </anchor>
              </controlPr>
            </control>
          </mc:Choice>
        </mc:AlternateContent>
        <mc:AlternateContent xmlns:mc="http://schemas.openxmlformats.org/markup-compatibility/2006">
          <mc:Choice Requires="x14">
            <control shapeId="10261" r:id="rId10" name="Option Button 21">
              <controlPr defaultSize="0" autoFill="0" autoLine="0" autoPict="0">
                <anchor moveWithCells="1">
                  <from>
                    <xdr:col>11</xdr:col>
                    <xdr:colOff>238125</xdr:colOff>
                    <xdr:row>19</xdr:row>
                    <xdr:rowOff>85725</xdr:rowOff>
                  </from>
                  <to>
                    <xdr:col>11</xdr:col>
                    <xdr:colOff>542925</xdr:colOff>
                    <xdr:row>19</xdr:row>
                    <xdr:rowOff>304800</xdr:rowOff>
                  </to>
                </anchor>
              </controlPr>
            </control>
          </mc:Choice>
        </mc:AlternateContent>
        <mc:AlternateContent xmlns:mc="http://schemas.openxmlformats.org/markup-compatibility/2006">
          <mc:Choice Requires="x14">
            <control shapeId="10262" r:id="rId11" name="Option Button 22">
              <controlPr defaultSize="0" autoFill="0" autoLine="0" autoPict="0">
                <anchor moveWithCells="1">
                  <from>
                    <xdr:col>8</xdr:col>
                    <xdr:colOff>304800</xdr:colOff>
                    <xdr:row>20</xdr:row>
                    <xdr:rowOff>95250</xdr:rowOff>
                  </from>
                  <to>
                    <xdr:col>10</xdr:col>
                    <xdr:colOff>76200</xdr:colOff>
                    <xdr:row>20</xdr:row>
                    <xdr:rowOff>314325</xdr:rowOff>
                  </to>
                </anchor>
              </controlPr>
            </control>
          </mc:Choice>
        </mc:AlternateContent>
        <mc:AlternateContent xmlns:mc="http://schemas.openxmlformats.org/markup-compatibility/2006">
          <mc:Choice Requires="x14">
            <control shapeId="10263" r:id="rId12" name="Option Button 23">
              <controlPr defaultSize="0" autoFill="0" autoLine="0" autoPict="0">
                <anchor moveWithCells="1">
                  <from>
                    <xdr:col>11</xdr:col>
                    <xdr:colOff>238125</xdr:colOff>
                    <xdr:row>20</xdr:row>
                    <xdr:rowOff>95250</xdr:rowOff>
                  </from>
                  <to>
                    <xdr:col>11</xdr:col>
                    <xdr:colOff>542925</xdr:colOff>
                    <xdr:row>20</xdr:row>
                    <xdr:rowOff>314325</xdr:rowOff>
                  </to>
                </anchor>
              </controlPr>
            </control>
          </mc:Choice>
        </mc:AlternateContent>
        <mc:AlternateContent xmlns:mc="http://schemas.openxmlformats.org/markup-compatibility/2006">
          <mc:Choice Requires="x14">
            <control shapeId="10264" r:id="rId13" name="Group Box 24">
              <controlPr defaultSize="0" autoFill="0" autoPict="0">
                <anchor moveWithCells="1">
                  <from>
                    <xdr:col>8</xdr:col>
                    <xdr:colOff>0</xdr:colOff>
                    <xdr:row>14</xdr:row>
                    <xdr:rowOff>190500</xdr:rowOff>
                  </from>
                  <to>
                    <xdr:col>12</xdr:col>
                    <xdr:colOff>0</xdr:colOff>
                    <xdr:row>17</xdr:row>
                    <xdr:rowOff>0</xdr:rowOff>
                  </to>
                </anchor>
              </controlPr>
            </control>
          </mc:Choice>
        </mc:AlternateContent>
        <mc:AlternateContent xmlns:mc="http://schemas.openxmlformats.org/markup-compatibility/2006">
          <mc:Choice Requires="x14">
            <control shapeId="10265" r:id="rId14" name="Group Box 25">
              <controlPr defaultSize="0" autoFill="0" autoPict="0">
                <anchor moveWithCells="1">
                  <from>
                    <xdr:col>8</xdr:col>
                    <xdr:colOff>0</xdr:colOff>
                    <xdr:row>17</xdr:row>
                    <xdr:rowOff>0</xdr:rowOff>
                  </from>
                  <to>
                    <xdr:col>12</xdr:col>
                    <xdr:colOff>0</xdr:colOff>
                    <xdr:row>19</xdr:row>
                    <xdr:rowOff>0</xdr:rowOff>
                  </to>
                </anchor>
              </controlPr>
            </control>
          </mc:Choice>
        </mc:AlternateContent>
        <mc:AlternateContent xmlns:mc="http://schemas.openxmlformats.org/markup-compatibility/2006">
          <mc:Choice Requires="x14">
            <control shapeId="10266" r:id="rId15" name="Group Box 26">
              <controlPr defaultSize="0" autoFill="0" autoPict="0">
                <anchor moveWithCells="1">
                  <from>
                    <xdr:col>8</xdr:col>
                    <xdr:colOff>0</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0267" r:id="rId16" name="Group Box 27">
              <controlPr defaultSize="0" autoFill="0" autoPict="0">
                <anchor moveWithCells="1">
                  <from>
                    <xdr:col>8</xdr:col>
                    <xdr:colOff>0</xdr:colOff>
                    <xdr:row>19</xdr:row>
                    <xdr:rowOff>381000</xdr:rowOff>
                  </from>
                  <to>
                    <xdr:col>12</xdr:col>
                    <xdr:colOff>0</xdr:colOff>
                    <xdr:row>20</xdr:row>
                    <xdr:rowOff>381000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8" id="{512B1DC1-9A27-4C13-BEF9-37369A3BF79D}">
            <x14:iconSet showValue="0" custom="1">
              <x14:cfvo type="percent">
                <xm:f>0</xm:f>
              </x14:cfvo>
              <x14:cfvo type="num">
                <xm:f>1</xm:f>
              </x14:cfvo>
              <x14:cfvo type="num">
                <xm:f>2</xm:f>
              </x14:cfvo>
              <x14:cfIcon iconSet="3Symbols" iconId="0"/>
              <x14:cfIcon iconSet="3Symbols" iconId="2"/>
              <x14:cfIcon iconSet="NoIcons" iconId="0"/>
            </x14:iconSet>
          </x14:cfRule>
          <xm:sqref>Q4 Q18 Q20:Q23 Q25:Q30</xm:sqref>
        </x14:conditionalFormatting>
        <x14:conditionalFormatting xmlns:xm="http://schemas.microsoft.com/office/excel/2006/main">
          <x14:cfRule type="iconSet" priority="1" id="{3B3E7F7B-195F-49EC-A0D5-408891D11DC8}">
            <x14:iconSet showValue="0" custom="1">
              <x14:cfvo type="percent">
                <xm:f>0</xm:f>
              </x14:cfvo>
              <x14:cfvo type="num">
                <xm:f>0</xm:f>
              </x14:cfvo>
              <x14:cfvo type="num">
                <xm:f>1</xm:f>
              </x14:cfvo>
              <x14:cfIcon iconSet="3Symbols" iconId="0"/>
              <x14:cfIcon iconSet="3Symbols" iconId="0"/>
              <x14:cfIcon iconSet="3Symbols" iconId="2"/>
            </x14:iconSet>
          </x14:cfRule>
          <xm:sqref>Q16:Q19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15B57-1959-48FB-96CB-101F4AD67DEB}">
  <sheetPr codeName="TAB31"/>
  <dimension ref="A1:F20"/>
  <sheetViews>
    <sheetView workbookViewId="0">
      <selection activeCell="C15" sqref="A1:XFD1048576"/>
    </sheetView>
  </sheetViews>
  <sheetFormatPr defaultColWidth="11.42578125" defaultRowHeight="15" x14ac:dyDescent="0.25"/>
  <cols>
    <col min="1" max="1" width="40.140625" style="118" bestFit="1" customWidth="1"/>
    <col min="2" max="2" width="52.85546875" style="118" bestFit="1" customWidth="1"/>
    <col min="3" max="3" width="47.42578125" style="118" bestFit="1" customWidth="1"/>
    <col min="4" max="4" width="19.42578125" style="118" bestFit="1" customWidth="1"/>
    <col min="5" max="16384" width="11.42578125" style="118"/>
  </cols>
  <sheetData>
    <row r="1" spans="1:6" x14ac:dyDescent="0.25">
      <c r="A1" s="119" t="s">
        <v>195</v>
      </c>
      <c r="B1" s="121" t="s">
        <v>197</v>
      </c>
    </row>
    <row r="2" spans="1:6" x14ac:dyDescent="0.25">
      <c r="A2" s="118" t="s">
        <v>204</v>
      </c>
      <c r="B2" s="120">
        <f>IF(OR(ISBLANK(PROZESSTECHNIK!K4),ISBLANK(PROZESSTECHNIK!K6),ISBLANK(PROZESSTECHNIK!K8),ISBLANK(PROZESSTECHNIK!K10)),0,1)</f>
        <v>0</v>
      </c>
    </row>
    <row r="4" spans="1:6" x14ac:dyDescent="0.25">
      <c r="A4" s="119" t="s">
        <v>54</v>
      </c>
      <c r="B4" s="121" t="s">
        <v>254</v>
      </c>
      <c r="C4" s="121" t="s">
        <v>319</v>
      </c>
      <c r="D4" s="121" t="s">
        <v>365</v>
      </c>
    </row>
    <row r="5" spans="1:6" x14ac:dyDescent="0.25">
      <c r="A5" s="136" t="s">
        <v>211</v>
      </c>
      <c r="B5" s="137">
        <f>IF(helper_PROZESSTECHNIK!$C$5=0, 0, IF(helper_PROZESSTECHNIK!$C$5=1, 1, IF(AND(helper_PROZESSTECHNIK!$C$5=2,$D$5), 1, 0)))</f>
        <v>0</v>
      </c>
      <c r="C5" s="114">
        <v>0</v>
      </c>
      <c r="D5" s="137" t="b">
        <f>NOT(ISBLANK(PROZESSTECHNIK!M17))</f>
        <v>0</v>
      </c>
      <c r="E5" s="138"/>
      <c r="F5" s="138"/>
    </row>
    <row r="6" spans="1:6" x14ac:dyDescent="0.25">
      <c r="A6" s="136" t="s">
        <v>212</v>
      </c>
      <c r="B6" s="137">
        <f>IF(helper_PROZESSTECHNIK!$C$6=0, 0, IF(helper_PROZESSTECHNIK!$C$6=1, 1, IF(AND(helper_PROZESSTECHNIK!$C$6=2,$D$6), 1, 0)))</f>
        <v>0</v>
      </c>
      <c r="C6" s="114">
        <v>0</v>
      </c>
      <c r="D6" s="137" t="b">
        <f>NOT(ISBLANK(PROZESSTECHNIK!M19))</f>
        <v>0</v>
      </c>
      <c r="E6" s="138"/>
      <c r="F6" s="138"/>
    </row>
    <row r="7" spans="1:6" x14ac:dyDescent="0.25">
      <c r="A7" s="136" t="s">
        <v>213</v>
      </c>
      <c r="B7" s="137">
        <f>IF(helper_PROZESSTECHNIK!$C$7&gt;0,1,0)</f>
        <v>0</v>
      </c>
      <c r="C7" s="114">
        <v>0</v>
      </c>
      <c r="D7" s="137"/>
      <c r="E7" s="138"/>
      <c r="F7" s="138"/>
    </row>
    <row r="8" spans="1:6" x14ac:dyDescent="0.25">
      <c r="A8" s="136" t="s">
        <v>214</v>
      </c>
      <c r="B8" s="137">
        <f>IF(OR(helper_PROZESSTECHNIK!$C$8=0,AND($C$8=1,$D$8)),0,1)</f>
        <v>0</v>
      </c>
      <c r="C8" s="114">
        <v>0</v>
      </c>
      <c r="D8" s="137" t="b">
        <v>0</v>
      </c>
      <c r="E8" s="138"/>
      <c r="F8" s="138"/>
    </row>
    <row r="9" spans="1:6" x14ac:dyDescent="0.25">
      <c r="A9" s="136" t="s">
        <v>215</v>
      </c>
      <c r="B9" s="137">
        <f>IF(AND(NOT(ISBLANK(PROZESSTECHNIK!$N$22)), ISNUMBER(PROZESSTECHNIK!$N$22)), 1, 0)</f>
        <v>0</v>
      </c>
      <c r="C9" s="114"/>
      <c r="D9" s="137"/>
      <c r="E9" s="138"/>
      <c r="F9" s="138"/>
    </row>
    <row r="10" spans="1:6" x14ac:dyDescent="0.25">
      <c r="A10" s="136" t="s">
        <v>216</v>
      </c>
      <c r="B10" s="137">
        <f>IF(AND(NOT(ISBLANK(PROZESSTECHNIK!$N$23)), ISNUMBER(PROZESSTECHNIK!$N$23)), 1, 0)</f>
        <v>0</v>
      </c>
      <c r="C10" s="114"/>
      <c r="D10" s="137"/>
      <c r="E10" s="138"/>
      <c r="F10" s="138"/>
    </row>
    <row r="12" spans="1:6" x14ac:dyDescent="0.25">
      <c r="A12" s="119" t="s">
        <v>132</v>
      </c>
      <c r="B12" s="121" t="s">
        <v>254</v>
      </c>
    </row>
    <row r="13" spans="1:6" x14ac:dyDescent="0.25">
      <c r="A13" s="118" t="s">
        <v>253</v>
      </c>
      <c r="B13" s="120">
        <f>IF(AND(SUM(PROZESSTECHNIK!$O$26:$O$30)=15,SUM($B$14:$B$18)=5),1,0)</f>
        <v>0</v>
      </c>
    </row>
    <row r="14" spans="1:6" x14ac:dyDescent="0.25">
      <c r="A14" s="118" t="s">
        <v>218</v>
      </c>
      <c r="B14" s="120">
        <f>_xlfn.LET(_xlpm.VAL, PROZESSTECHNIK!$O26, IF(OR(ISBLANK(_xlpm.VAL),NOT(ISNUMBER(_xlpm.VAL)),_xlpm.VAL&lt;1,_xlpm.VAL&gt;5),0,1))</f>
        <v>0</v>
      </c>
    </row>
    <row r="15" spans="1:6" x14ac:dyDescent="0.25">
      <c r="A15" s="118" t="s">
        <v>219</v>
      </c>
      <c r="B15" s="120">
        <f>_xlfn.LET(_xlpm.VAL, PROZESSTECHNIK!$O27, IF(OR(ISBLANK(_xlpm.VAL),NOT(ISNUMBER(_xlpm.VAL)),_xlpm.VAL&lt;1,_xlpm.VAL&gt;5),0,1))</f>
        <v>0</v>
      </c>
    </row>
    <row r="16" spans="1:6" x14ac:dyDescent="0.25">
      <c r="A16" s="118" t="s">
        <v>220</v>
      </c>
      <c r="B16" s="120">
        <f>_xlfn.LET(_xlpm.VAL, PROZESSTECHNIK!$O28, IF(OR(ISBLANK(_xlpm.VAL),NOT(ISNUMBER(_xlpm.VAL)),_xlpm.VAL&lt;1,_xlpm.VAL&gt;5),0,1))</f>
        <v>0</v>
      </c>
    </row>
    <row r="17" spans="1:2" x14ac:dyDescent="0.25">
      <c r="A17" s="118" t="s">
        <v>221</v>
      </c>
      <c r="B17" s="120">
        <f>_xlfn.LET(_xlpm.VAL, PROZESSTECHNIK!$O29, IF(OR(ISBLANK(_xlpm.VAL),NOT(ISNUMBER(_xlpm.VAL)),_xlpm.VAL&lt;1,_xlpm.VAL&gt;5),0,1))</f>
        <v>0</v>
      </c>
    </row>
    <row r="18" spans="1:2" x14ac:dyDescent="0.25">
      <c r="A18" s="118" t="s">
        <v>222</v>
      </c>
      <c r="B18" s="120">
        <f>_xlfn.LET(_xlpm.VAL, PROZESSTECHNIK!$O30, IF(OR(ISBLANK(_xlpm.VAL),NOT(ISNUMBER(_xlpm.VAL)),_xlpm.VAL&lt;1,_xlpm.VAL&gt;5),0,1))</f>
        <v>0</v>
      </c>
    </row>
    <row r="20" spans="1:2" x14ac:dyDescent="0.25">
      <c r="A20" s="118" t="s">
        <v>283</v>
      </c>
      <c r="B20" s="118" cm="1">
        <f t="array" ref="B20">IF(OR($B$2=0,$B$5:$B$10=0,$B$13:$B$18=0),0,1)</f>
        <v>0</v>
      </c>
    </row>
  </sheetData>
  <sheetProtection algorithmName="SHA-512" hashValue="hXbRBdit8X66FdkKw6PUbW+5J6mIBXUkquG861+Iifhmp+L9AsF/Vr7yCKUknz+U7gu+HEV7n1r9KgZkkFOdZQ==" saltValue="WS4cUdu3ogLbc5K5Ss9WdA==" spinCount="100000" sheet="1" objects="1" scenarios="1" selectLockedCells="1" selectUnlockedCells="1"/>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6E771-3D9D-44CC-B923-0228CA15355A}">
  <sheetPr codeName="TAB40">
    <tabColor rgb="FFD3F3CE"/>
    <pageSetUpPr fitToPage="1"/>
  </sheetPr>
  <dimension ref="A1:S40"/>
  <sheetViews>
    <sheetView showGridLines="0" showRowColHeaders="0" topLeftCell="A29" zoomScaleNormal="100" workbookViewId="0">
      <selection activeCell="B28" sqref="B28:R28"/>
      <extLst>
        <ext xmlns:xlsdti="http://schemas.microsoft.com/office/spreadsheetml/2023/showDataTypeIcons" uri="{77bfe23e-c014-4d31-8a63-9c772dbf06b6}">
          <xlsdti:showDataTypeIcons visible="0"/>
        </ext>
      </extLst>
    </sheetView>
  </sheetViews>
  <sheetFormatPr defaultColWidth="11.42578125" defaultRowHeight="15" x14ac:dyDescent="0.25"/>
  <cols>
    <col min="1" max="1" width="5.140625" customWidth="1"/>
    <col min="2" max="3" width="2.85546875" customWidth="1"/>
    <col min="4" max="4" width="9.42578125" bestFit="1" customWidth="1"/>
    <col min="6" max="6" width="11.42578125" customWidth="1"/>
    <col min="7" max="7" width="3.42578125" customWidth="1"/>
    <col min="8" max="8" width="1.7109375" customWidth="1"/>
    <col min="9" max="9" width="5.140625" customWidth="1"/>
    <col min="10" max="10" width="2.85546875" customWidth="1"/>
    <col min="11" max="11" width="5" customWidth="1"/>
    <col min="12" max="13" width="7.140625" customWidth="1"/>
    <col min="14" max="14" width="8.42578125" customWidth="1"/>
    <col min="15" max="16" width="5.7109375" customWidth="1"/>
    <col min="17" max="17" width="10.7109375" customWidth="1"/>
    <col min="18" max="19" width="2.85546875" customWidth="1"/>
  </cols>
  <sheetData>
    <row r="1" spans="1:19" x14ac:dyDescent="0.25">
      <c r="A1" s="301" t="s">
        <v>55</v>
      </c>
      <c r="B1" s="301"/>
      <c r="C1" s="301"/>
      <c r="D1" s="301"/>
      <c r="E1" s="301"/>
      <c r="F1" s="301"/>
      <c r="G1" s="301"/>
      <c r="H1" s="301"/>
      <c r="I1" s="301"/>
      <c r="J1" s="301"/>
      <c r="K1" s="301"/>
      <c r="L1" s="301"/>
      <c r="M1" s="301"/>
      <c r="N1" s="301"/>
      <c r="O1" s="301"/>
      <c r="P1" s="301"/>
      <c r="Q1" s="301"/>
      <c r="R1" s="301"/>
      <c r="S1" s="301"/>
    </row>
    <row r="2" spans="1:19" ht="11.25" customHeight="1" x14ac:dyDescent="0.25">
      <c r="A2" s="310"/>
      <c r="B2" s="310"/>
      <c r="C2" s="310"/>
      <c r="D2" s="310"/>
      <c r="E2" s="310"/>
      <c r="F2" s="310"/>
      <c r="G2" s="310"/>
      <c r="H2" s="310"/>
      <c r="I2" s="310"/>
      <c r="J2" s="310"/>
      <c r="K2" s="310"/>
      <c r="L2" s="310"/>
      <c r="M2" s="310"/>
      <c r="N2" s="310"/>
      <c r="O2" s="310"/>
      <c r="P2" s="310"/>
      <c r="Q2" s="310"/>
      <c r="R2" s="310"/>
      <c r="S2" s="6"/>
    </row>
    <row r="3" spans="1:19" ht="10.5" customHeight="1" x14ac:dyDescent="0.25">
      <c r="A3" s="458" t="s">
        <v>56</v>
      </c>
      <c r="B3" s="271"/>
      <c r="C3" s="271"/>
      <c r="D3" s="271"/>
      <c r="E3" s="271"/>
      <c r="F3" s="271"/>
      <c r="G3" s="271"/>
      <c r="H3" s="461"/>
      <c r="I3" s="232" t="s">
        <v>2</v>
      </c>
      <c r="J3" s="464"/>
      <c r="K3" s="464"/>
      <c r="L3" s="464"/>
      <c r="M3" s="464"/>
      <c r="N3" s="464"/>
      <c r="O3" s="464"/>
      <c r="P3" s="464"/>
      <c r="Q3" s="464"/>
      <c r="R3" s="465"/>
      <c r="S3" s="6"/>
    </row>
    <row r="4" spans="1:19" ht="15" customHeight="1" x14ac:dyDescent="0.25">
      <c r="A4" s="459"/>
      <c r="B4" s="219"/>
      <c r="C4" s="219"/>
      <c r="D4" s="219"/>
      <c r="E4" s="219"/>
      <c r="F4" s="219"/>
      <c r="G4" s="219"/>
      <c r="H4" s="462"/>
      <c r="I4" s="233"/>
      <c r="J4" s="78"/>
      <c r="K4" s="293"/>
      <c r="L4" s="294"/>
      <c r="M4" s="294"/>
      <c r="N4" s="294"/>
      <c r="O4" s="294"/>
      <c r="P4" s="294"/>
      <c r="Q4" s="294"/>
      <c r="R4" s="295"/>
      <c r="S4" s="21">
        <f>helper_DIGITALISIERUNG!$B$2</f>
        <v>0</v>
      </c>
    </row>
    <row r="5" spans="1:19" ht="9" customHeight="1" x14ac:dyDescent="0.25">
      <c r="A5" s="459"/>
      <c r="B5" s="219"/>
      <c r="C5" s="219"/>
      <c r="D5" s="219"/>
      <c r="E5" s="219"/>
      <c r="F5" s="219"/>
      <c r="G5" s="219"/>
      <c r="H5" s="462"/>
      <c r="I5" s="233"/>
      <c r="J5" s="2"/>
      <c r="K5" s="297" t="s">
        <v>6</v>
      </c>
      <c r="L5" s="297"/>
      <c r="M5" s="297"/>
      <c r="N5" s="297"/>
      <c r="O5" s="297"/>
      <c r="P5" s="297"/>
      <c r="Q5" s="297"/>
      <c r="R5" s="298"/>
      <c r="S5" s="6"/>
    </row>
    <row r="6" spans="1:19" x14ac:dyDescent="0.25">
      <c r="A6" s="459"/>
      <c r="B6" s="219"/>
      <c r="C6" s="219"/>
      <c r="D6" s="219"/>
      <c r="E6" s="219"/>
      <c r="F6" s="219"/>
      <c r="G6" s="219"/>
      <c r="H6" s="462"/>
      <c r="I6" s="233"/>
      <c r="J6" s="2"/>
      <c r="K6" s="293"/>
      <c r="L6" s="294"/>
      <c r="M6" s="294"/>
      <c r="N6" s="294"/>
      <c r="O6" s="294"/>
      <c r="P6" s="294"/>
      <c r="Q6" s="294"/>
      <c r="R6" s="295"/>
      <c r="S6" s="6"/>
    </row>
    <row r="7" spans="1:19" ht="9" customHeight="1" x14ac:dyDescent="0.25">
      <c r="A7" s="459"/>
      <c r="B7" s="219"/>
      <c r="C7" s="219"/>
      <c r="D7" s="219"/>
      <c r="E7" s="219"/>
      <c r="F7" s="219"/>
      <c r="G7" s="219"/>
      <c r="H7" s="462"/>
      <c r="I7" s="233"/>
      <c r="J7" s="2"/>
      <c r="K7" s="297" t="s">
        <v>7</v>
      </c>
      <c r="L7" s="297"/>
      <c r="M7" s="297" t="s">
        <v>7</v>
      </c>
      <c r="N7" s="297"/>
      <c r="O7" s="297"/>
      <c r="P7" s="297"/>
      <c r="Q7" s="297"/>
      <c r="R7" s="298"/>
      <c r="S7" s="6"/>
    </row>
    <row r="8" spans="1:19" x14ac:dyDescent="0.25">
      <c r="A8" s="459"/>
      <c r="B8" s="219"/>
      <c r="C8" s="219"/>
      <c r="D8" s="219"/>
      <c r="E8" s="219"/>
      <c r="F8" s="219"/>
      <c r="G8" s="219"/>
      <c r="H8" s="462"/>
      <c r="I8" s="233"/>
      <c r="J8" s="2"/>
      <c r="K8" s="293"/>
      <c r="L8" s="294"/>
      <c r="M8" s="294"/>
      <c r="N8" s="294"/>
      <c r="O8" s="294"/>
      <c r="P8" s="294"/>
      <c r="Q8" s="294"/>
      <c r="R8" s="295"/>
      <c r="S8" s="6"/>
    </row>
    <row r="9" spans="1:19" ht="9" customHeight="1" x14ac:dyDescent="0.25">
      <c r="A9" s="459"/>
      <c r="B9" s="219"/>
      <c r="C9" s="219"/>
      <c r="D9" s="219"/>
      <c r="E9" s="219"/>
      <c r="F9" s="219"/>
      <c r="G9" s="219"/>
      <c r="H9" s="462"/>
      <c r="I9" s="233"/>
      <c r="J9" s="2"/>
      <c r="K9" s="297" t="s">
        <v>8</v>
      </c>
      <c r="L9" s="297"/>
      <c r="M9" s="297" t="s">
        <v>8</v>
      </c>
      <c r="N9" s="297"/>
      <c r="O9" s="297"/>
      <c r="P9" s="297"/>
      <c r="Q9" s="297"/>
      <c r="R9" s="298"/>
      <c r="S9" s="6"/>
    </row>
    <row r="10" spans="1:19" x14ac:dyDescent="0.25">
      <c r="A10" s="459"/>
      <c r="B10" s="219"/>
      <c r="C10" s="219"/>
      <c r="D10" s="219"/>
      <c r="E10" s="219"/>
      <c r="F10" s="219"/>
      <c r="G10" s="219"/>
      <c r="H10" s="462"/>
      <c r="I10" s="233"/>
      <c r="J10" s="2"/>
      <c r="K10" s="293"/>
      <c r="L10" s="294"/>
      <c r="M10" s="294"/>
      <c r="N10" s="294"/>
      <c r="O10" s="294"/>
      <c r="P10" s="294"/>
      <c r="Q10" s="294"/>
      <c r="R10" s="295"/>
      <c r="S10" s="6"/>
    </row>
    <row r="11" spans="1:19" ht="9" customHeight="1" x14ac:dyDescent="0.25">
      <c r="A11" s="459"/>
      <c r="B11" s="219"/>
      <c r="C11" s="219"/>
      <c r="D11" s="219"/>
      <c r="E11" s="219"/>
      <c r="F11" s="219"/>
      <c r="G11" s="219"/>
      <c r="H11" s="462"/>
      <c r="I11" s="233"/>
      <c r="J11" s="2"/>
      <c r="K11" s="299" t="s">
        <v>9</v>
      </c>
      <c r="L11" s="299"/>
      <c r="M11" s="299" t="s">
        <v>9</v>
      </c>
      <c r="N11" s="299"/>
      <c r="O11" s="299"/>
      <c r="P11" s="299"/>
      <c r="Q11" s="299"/>
      <c r="R11" s="300"/>
      <c r="S11" s="6"/>
    </row>
    <row r="12" spans="1:19" ht="15" customHeight="1" x14ac:dyDescent="0.25">
      <c r="A12" s="459"/>
      <c r="B12" s="219"/>
      <c r="C12" s="219"/>
      <c r="D12" s="219"/>
      <c r="E12" s="219"/>
      <c r="F12" s="219"/>
      <c r="G12" s="219"/>
      <c r="H12" s="462"/>
      <c r="I12" s="233"/>
      <c r="J12" s="2"/>
      <c r="K12" s="293"/>
      <c r="L12" s="294"/>
      <c r="M12" s="294"/>
      <c r="N12" s="294"/>
      <c r="O12" s="294"/>
      <c r="P12" s="294"/>
      <c r="Q12" s="294"/>
      <c r="R12" s="295"/>
      <c r="S12" s="6"/>
    </row>
    <row r="13" spans="1:19" ht="9" customHeight="1" x14ac:dyDescent="0.25">
      <c r="A13" s="459"/>
      <c r="B13" s="219"/>
      <c r="C13" s="219"/>
      <c r="D13" s="219"/>
      <c r="E13" s="219"/>
      <c r="F13" s="219"/>
      <c r="G13" s="219"/>
      <c r="H13" s="462"/>
      <c r="I13" s="233"/>
      <c r="J13" s="2"/>
      <c r="K13" s="467" t="s">
        <v>27</v>
      </c>
      <c r="L13" s="467"/>
      <c r="M13" s="467"/>
      <c r="N13" s="467"/>
      <c r="O13" s="467"/>
      <c r="P13" s="467"/>
      <c r="Q13" s="467"/>
      <c r="R13" s="468"/>
      <c r="S13" s="6"/>
    </row>
    <row r="14" spans="1:19" ht="9" customHeight="1" x14ac:dyDescent="0.25">
      <c r="A14" s="460"/>
      <c r="B14" s="220"/>
      <c r="C14" s="220"/>
      <c r="D14" s="220"/>
      <c r="E14" s="220"/>
      <c r="F14" s="220"/>
      <c r="G14" s="220"/>
      <c r="H14" s="463"/>
      <c r="I14" s="275"/>
      <c r="J14" s="445"/>
      <c r="K14" s="445"/>
      <c r="L14" s="445"/>
      <c r="M14" s="445"/>
      <c r="N14" s="445"/>
      <c r="O14" s="445"/>
      <c r="P14" s="445"/>
      <c r="Q14" s="445"/>
      <c r="R14" s="466"/>
      <c r="S14" s="6"/>
    </row>
    <row r="15" spans="1:19" ht="11.25" customHeight="1" x14ac:dyDescent="0.25">
      <c r="A15" s="279"/>
      <c r="B15" s="279"/>
      <c r="C15" s="279"/>
      <c r="D15" s="279"/>
      <c r="E15" s="279"/>
      <c r="F15" s="279"/>
      <c r="G15" s="279"/>
      <c r="H15" s="279"/>
      <c r="I15" s="279"/>
      <c r="J15" s="279"/>
      <c r="K15" s="279"/>
      <c r="L15" s="279"/>
      <c r="M15" s="279"/>
      <c r="N15" s="279"/>
      <c r="O15" s="279"/>
      <c r="P15" s="279"/>
      <c r="Q15" s="279"/>
      <c r="R15" s="279"/>
      <c r="S15" s="6"/>
    </row>
    <row r="16" spans="1:19" ht="15" customHeight="1" x14ac:dyDescent="0.25">
      <c r="A16" s="272" t="s">
        <v>57</v>
      </c>
      <c r="B16" s="259"/>
      <c r="C16" s="259"/>
      <c r="D16" s="259"/>
      <c r="E16" s="259"/>
      <c r="F16" s="259"/>
      <c r="G16" s="259"/>
      <c r="H16" s="259"/>
      <c r="I16" s="469"/>
      <c r="J16" s="469"/>
      <c r="K16" s="469"/>
      <c r="L16" s="82" t="s">
        <v>18</v>
      </c>
      <c r="M16" s="82" t="s">
        <v>19</v>
      </c>
      <c r="N16" s="82" t="s">
        <v>140</v>
      </c>
      <c r="O16" s="470" t="s">
        <v>141</v>
      </c>
      <c r="P16" s="470"/>
      <c r="Q16" s="470"/>
      <c r="R16" s="471"/>
      <c r="S16" s="6"/>
    </row>
    <row r="17" spans="1:19" ht="30" customHeight="1" x14ac:dyDescent="0.25">
      <c r="A17" s="273"/>
      <c r="B17" s="219" t="s">
        <v>144</v>
      </c>
      <c r="C17" s="219"/>
      <c r="D17" s="219"/>
      <c r="E17" s="219"/>
      <c r="F17" s="219"/>
      <c r="G17" s="219"/>
      <c r="H17" s="219"/>
      <c r="I17" s="311"/>
      <c r="J17" s="311"/>
      <c r="K17" s="311"/>
      <c r="L17" s="14"/>
      <c r="O17" s="4"/>
      <c r="P17" s="373" t="s">
        <v>37</v>
      </c>
      <c r="Q17" s="373"/>
      <c r="R17" s="374"/>
      <c r="S17" s="21">
        <f>helper_DIGITALISIERUNG!$B5</f>
        <v>0</v>
      </c>
    </row>
    <row r="18" spans="1:19" ht="30" customHeight="1" x14ac:dyDescent="0.25">
      <c r="A18" s="273"/>
      <c r="B18" s="219" t="s">
        <v>142</v>
      </c>
      <c r="C18" s="219"/>
      <c r="D18" s="219"/>
      <c r="E18" s="219"/>
      <c r="F18" s="219"/>
      <c r="G18" s="219"/>
      <c r="H18" s="219"/>
      <c r="I18" s="311"/>
      <c r="J18" s="311"/>
      <c r="K18" s="311"/>
      <c r="L18" s="14"/>
      <c r="O18" s="5"/>
      <c r="P18" s="373" t="s">
        <v>37</v>
      </c>
      <c r="Q18" s="373"/>
      <c r="R18" s="374"/>
      <c r="S18" s="21">
        <f>helper_DIGITALISIERUNG!$B6</f>
        <v>0</v>
      </c>
    </row>
    <row r="19" spans="1:19" ht="30" customHeight="1" x14ac:dyDescent="0.25">
      <c r="A19" s="273"/>
      <c r="B19" s="219" t="s">
        <v>147</v>
      </c>
      <c r="C19" s="219"/>
      <c r="D19" s="219"/>
      <c r="E19" s="219"/>
      <c r="F19" s="219"/>
      <c r="G19" s="219"/>
      <c r="H19" s="219"/>
      <c r="I19" s="311"/>
      <c r="J19" s="311"/>
      <c r="K19" s="311"/>
      <c r="L19" s="14"/>
      <c r="O19" s="5"/>
      <c r="P19" s="373" t="s">
        <v>37</v>
      </c>
      <c r="Q19" s="373"/>
      <c r="R19" s="374"/>
      <c r="S19" s="21">
        <f>helper_DIGITALISIERUNG!$B7</f>
        <v>0</v>
      </c>
    </row>
    <row r="20" spans="1:19" ht="30" customHeight="1" x14ac:dyDescent="0.25">
      <c r="A20" s="273"/>
      <c r="B20" s="219" t="s">
        <v>142</v>
      </c>
      <c r="C20" s="219"/>
      <c r="D20" s="219"/>
      <c r="E20" s="219"/>
      <c r="F20" s="219"/>
      <c r="G20" s="219"/>
      <c r="H20" s="219"/>
      <c r="I20" s="311"/>
      <c r="J20" s="311"/>
      <c r="K20" s="311"/>
      <c r="L20" s="14"/>
      <c r="O20" s="5"/>
      <c r="P20" s="373" t="s">
        <v>37</v>
      </c>
      <c r="Q20" s="373"/>
      <c r="R20" s="374"/>
      <c r="S20" s="21">
        <f>helper_DIGITALISIERUNG!$B8</f>
        <v>0</v>
      </c>
    </row>
    <row r="21" spans="1:19" ht="30" customHeight="1" x14ac:dyDescent="0.25">
      <c r="A21" s="273"/>
      <c r="B21" s="219" t="s">
        <v>146</v>
      </c>
      <c r="C21" s="219"/>
      <c r="D21" s="219"/>
      <c r="E21" s="219" t="s">
        <v>143</v>
      </c>
      <c r="F21" s="219"/>
      <c r="G21" s="219"/>
      <c r="H21" s="219"/>
      <c r="I21" s="311"/>
      <c r="J21" s="311"/>
      <c r="K21" s="311"/>
      <c r="L21" s="14"/>
      <c r="O21" s="5"/>
      <c r="P21" s="373" t="s">
        <v>37</v>
      </c>
      <c r="Q21" s="373"/>
      <c r="R21" s="374"/>
      <c r="S21" s="21">
        <f>helper_DIGITALISIERUNG!$B9</f>
        <v>0</v>
      </c>
    </row>
    <row r="22" spans="1:19" ht="30" customHeight="1" x14ac:dyDescent="0.25">
      <c r="A22" s="273"/>
      <c r="B22" s="219" t="s">
        <v>142</v>
      </c>
      <c r="C22" s="219" t="s">
        <v>142</v>
      </c>
      <c r="D22" s="219"/>
      <c r="E22" s="219"/>
      <c r="F22" s="219"/>
      <c r="G22" s="219"/>
      <c r="H22" s="219"/>
      <c r="I22" s="311"/>
      <c r="J22" s="311"/>
      <c r="K22" s="311"/>
      <c r="L22" s="14"/>
      <c r="O22" s="5"/>
      <c r="P22" s="373" t="s">
        <v>37</v>
      </c>
      <c r="Q22" s="373"/>
      <c r="R22" s="374"/>
      <c r="S22" s="21">
        <f>helper_DIGITALISIERUNG!$B10</f>
        <v>0</v>
      </c>
    </row>
    <row r="23" spans="1:19" ht="30" customHeight="1" x14ac:dyDescent="0.25">
      <c r="A23" s="273"/>
      <c r="B23" s="219" t="s">
        <v>145</v>
      </c>
      <c r="C23" s="219"/>
      <c r="D23" s="219"/>
      <c r="E23" s="219"/>
      <c r="F23" s="219"/>
      <c r="G23" s="219"/>
      <c r="H23" s="219"/>
      <c r="I23" s="478" t="s">
        <v>151</v>
      </c>
      <c r="J23" s="478"/>
      <c r="K23" s="478"/>
      <c r="L23" s="14"/>
      <c r="O23" s="5"/>
      <c r="P23" s="373" t="s">
        <v>148</v>
      </c>
      <c r="Q23" s="373"/>
      <c r="R23" s="374"/>
      <c r="S23" s="21">
        <f>helper_DIGITALISIERUNG!$B11</f>
        <v>0</v>
      </c>
    </row>
    <row r="24" spans="1:19" ht="30" customHeight="1" x14ac:dyDescent="0.25">
      <c r="A24" s="273"/>
      <c r="B24" s="219"/>
      <c r="C24" s="219"/>
      <c r="D24" s="219"/>
      <c r="E24" s="219"/>
      <c r="F24" s="219"/>
      <c r="G24" s="219"/>
      <c r="H24" s="219"/>
      <c r="I24" s="478" t="s">
        <v>152</v>
      </c>
      <c r="J24" s="478"/>
      <c r="K24" s="478"/>
      <c r="L24" s="14"/>
      <c r="O24" s="5"/>
      <c r="P24" s="373" t="s">
        <v>148</v>
      </c>
      <c r="Q24" s="373"/>
      <c r="R24" s="374"/>
      <c r="S24" s="21">
        <f>helper_DIGITALISIERUNG!$B12</f>
        <v>0</v>
      </c>
    </row>
    <row r="25" spans="1:19" ht="30" customHeight="1" x14ac:dyDescent="0.25">
      <c r="A25" s="273"/>
      <c r="B25" s="219"/>
      <c r="C25" s="219"/>
      <c r="D25" s="219"/>
      <c r="E25" s="219"/>
      <c r="F25" s="219"/>
      <c r="G25" s="219"/>
      <c r="H25" s="219"/>
      <c r="I25" s="478" t="s">
        <v>153</v>
      </c>
      <c r="J25" s="478"/>
      <c r="K25" s="478"/>
      <c r="L25" s="14"/>
      <c r="O25" s="5"/>
      <c r="P25" s="373" t="s">
        <v>148</v>
      </c>
      <c r="Q25" s="373"/>
      <c r="R25" s="374"/>
      <c r="S25" s="21">
        <f>helper_DIGITALISIERUNG!$B13</f>
        <v>0</v>
      </c>
    </row>
    <row r="26" spans="1:19" ht="33.75" customHeight="1" x14ac:dyDescent="0.25">
      <c r="A26" s="273"/>
      <c r="B26" s="219" t="s">
        <v>150</v>
      </c>
      <c r="C26" s="219"/>
      <c r="D26" s="219"/>
      <c r="E26" s="219"/>
      <c r="F26" s="219"/>
      <c r="G26" s="219"/>
      <c r="H26" s="219"/>
      <c r="I26" s="311"/>
      <c r="J26" s="311"/>
      <c r="K26" s="311"/>
      <c r="L26" s="14"/>
      <c r="N26" s="6"/>
      <c r="O26" s="373" t="s">
        <v>149</v>
      </c>
      <c r="P26" s="373"/>
      <c r="Q26" s="373"/>
      <c r="R26" s="374"/>
      <c r="S26" s="21">
        <f>helper_DIGITALISIERUNG!$B14</f>
        <v>0</v>
      </c>
    </row>
    <row r="27" spans="1:19" ht="24.75" customHeight="1" x14ac:dyDescent="0.25">
      <c r="A27" s="273"/>
      <c r="B27" s="472" t="s">
        <v>166</v>
      </c>
      <c r="C27" s="473"/>
      <c r="D27" s="473"/>
      <c r="E27" s="473"/>
      <c r="F27" s="473"/>
      <c r="G27" s="473"/>
      <c r="H27" s="473"/>
      <c r="I27" s="473"/>
      <c r="J27" s="473"/>
      <c r="K27" s="473"/>
      <c r="L27" s="473"/>
      <c r="M27" s="473"/>
      <c r="N27" s="473"/>
      <c r="O27" s="473"/>
      <c r="P27" s="473"/>
      <c r="Q27" s="473"/>
      <c r="R27" s="474"/>
      <c r="S27" s="418">
        <f>helper_DIGITALISIERUNG!$B$15</f>
        <v>0</v>
      </c>
    </row>
    <row r="28" spans="1:19" ht="153" customHeight="1" x14ac:dyDescent="0.25">
      <c r="A28" s="274"/>
      <c r="B28" s="475"/>
      <c r="C28" s="476"/>
      <c r="D28" s="476"/>
      <c r="E28" s="476"/>
      <c r="F28" s="476"/>
      <c r="G28" s="476"/>
      <c r="H28" s="476"/>
      <c r="I28" s="476"/>
      <c r="J28" s="476"/>
      <c r="K28" s="476"/>
      <c r="L28" s="476"/>
      <c r="M28" s="476"/>
      <c r="N28" s="476"/>
      <c r="O28" s="476"/>
      <c r="P28" s="476"/>
      <c r="Q28" s="476"/>
      <c r="R28" s="477"/>
      <c r="S28" s="418"/>
    </row>
    <row r="29" spans="1:19" ht="11.25" customHeight="1" x14ac:dyDescent="0.25">
      <c r="A29" s="311"/>
      <c r="B29" s="311"/>
      <c r="C29" s="311"/>
      <c r="D29" s="311"/>
      <c r="E29" s="311"/>
      <c r="F29" s="311"/>
      <c r="G29" s="311"/>
      <c r="H29" s="311"/>
      <c r="I29" s="311"/>
      <c r="J29" s="311"/>
      <c r="K29" s="311"/>
      <c r="L29" s="311"/>
      <c r="M29" s="311"/>
      <c r="N29" s="311"/>
      <c r="O29" s="311"/>
      <c r="P29" s="311"/>
      <c r="Q29" s="311"/>
      <c r="R29" s="311"/>
      <c r="S29" s="6"/>
    </row>
    <row r="30" spans="1:19" ht="15" customHeight="1" x14ac:dyDescent="0.25">
      <c r="A30" s="272" t="s">
        <v>344</v>
      </c>
      <c r="B30" s="337" t="s">
        <v>345</v>
      </c>
      <c r="C30" s="337"/>
      <c r="D30" s="337"/>
      <c r="E30" s="337"/>
      <c r="F30" s="337"/>
      <c r="G30" s="337"/>
      <c r="H30" s="337"/>
      <c r="I30" s="337"/>
      <c r="J30" s="337"/>
      <c r="K30" s="337"/>
      <c r="L30" s="337"/>
      <c r="M30" s="337"/>
      <c r="N30" s="337"/>
      <c r="O30" s="337"/>
      <c r="P30" s="337"/>
      <c r="Q30" s="337"/>
      <c r="R30" s="440"/>
      <c r="S30" s="6"/>
    </row>
    <row r="31" spans="1:19" ht="135" customHeight="1" x14ac:dyDescent="0.25">
      <c r="A31" s="274"/>
      <c r="B31" s="76" t="s">
        <v>11</v>
      </c>
      <c r="C31" s="338"/>
      <c r="D31" s="339"/>
      <c r="E31" s="339"/>
      <c r="F31" s="339"/>
      <c r="G31" s="339"/>
      <c r="H31" s="339"/>
      <c r="I31" s="339"/>
      <c r="J31" s="339"/>
      <c r="K31" s="339"/>
      <c r="L31" s="339"/>
      <c r="M31" s="339"/>
      <c r="N31" s="339"/>
      <c r="O31" s="339"/>
      <c r="P31" s="339"/>
      <c r="Q31" s="339"/>
      <c r="R31" s="340"/>
      <c r="S31" s="6"/>
    </row>
    <row r="32" spans="1:19" ht="17.25" customHeight="1" x14ac:dyDescent="0.25">
      <c r="A32" s="6"/>
      <c r="B32" s="6"/>
      <c r="C32" s="6"/>
      <c r="D32" s="6"/>
      <c r="E32" s="6"/>
      <c r="F32" s="6"/>
      <c r="G32" s="6"/>
      <c r="H32" s="6"/>
      <c r="I32" s="6"/>
      <c r="J32" s="6"/>
      <c r="K32" s="6"/>
      <c r="L32" s="6"/>
      <c r="M32" s="6"/>
      <c r="N32" s="6"/>
      <c r="O32" s="6"/>
      <c r="P32" s="6"/>
      <c r="Q32" s="6"/>
      <c r="R32" s="6"/>
      <c r="S32" s="6"/>
    </row>
    <row r="33" ht="27" customHeight="1" x14ac:dyDescent="0.25"/>
    <row r="34" ht="26.25" customHeight="1" x14ac:dyDescent="0.25"/>
    <row r="35" ht="26.25" customHeight="1" x14ac:dyDescent="0.25"/>
    <row r="36" ht="25.5" customHeight="1" x14ac:dyDescent="0.25"/>
    <row r="37" ht="25.5" customHeight="1" x14ac:dyDescent="0.25"/>
    <row r="38" ht="25.5" customHeight="1" x14ac:dyDescent="0.25"/>
    <row r="39" ht="25.5" customHeight="1" x14ac:dyDescent="0.25"/>
    <row r="40" ht="11.25" customHeight="1" x14ac:dyDescent="0.25"/>
  </sheetData>
  <sheetProtection algorithmName="SHA-512" hashValue="NDkIzERQuNA2+43itNHIhRicUPzzS8ccadRxyfqBRyFvG3YaaonbeBvQEZ9Edea/DnnXpCsLKyUTvzRvZ1GOng==" saltValue="tSkCf/ipDAW55UNO44WfUA==" spinCount="100000" sheet="1" objects="1" scenarios="1" selectLockedCells="1"/>
  <mergeCells count="57">
    <mergeCell ref="S27:S28"/>
    <mergeCell ref="K12:R12"/>
    <mergeCell ref="A3:G14"/>
    <mergeCell ref="H3:H14"/>
    <mergeCell ref="I3:I14"/>
    <mergeCell ref="I26:K26"/>
    <mergeCell ref="B22:H22"/>
    <mergeCell ref="B21:H21"/>
    <mergeCell ref="P25:R25"/>
    <mergeCell ref="O26:R26"/>
    <mergeCell ref="I23:K23"/>
    <mergeCell ref="I24:K24"/>
    <mergeCell ref="I25:K25"/>
    <mergeCell ref="B17:H17"/>
    <mergeCell ref="B18:H18"/>
    <mergeCell ref="I18:K18"/>
    <mergeCell ref="K9:R9"/>
    <mergeCell ref="K10:R10"/>
    <mergeCell ref="K11:R11"/>
    <mergeCell ref="I17:K17"/>
    <mergeCell ref="I21:K21"/>
    <mergeCell ref="P18:R18"/>
    <mergeCell ref="P21:R21"/>
    <mergeCell ref="P17:R17"/>
    <mergeCell ref="I19:K19"/>
    <mergeCell ref="P19:R19"/>
    <mergeCell ref="I20:K20"/>
    <mergeCell ref="P20:R20"/>
    <mergeCell ref="A30:A31"/>
    <mergeCell ref="C31:R31"/>
    <mergeCell ref="B30:R30"/>
    <mergeCell ref="B27:R27"/>
    <mergeCell ref="I22:K22"/>
    <mergeCell ref="P22:R22"/>
    <mergeCell ref="A29:R29"/>
    <mergeCell ref="B28:R28"/>
    <mergeCell ref="A16:A28"/>
    <mergeCell ref="B23:H25"/>
    <mergeCell ref="B26:H26"/>
    <mergeCell ref="B19:H19"/>
    <mergeCell ref="B20:H20"/>
    <mergeCell ref="A1:S1"/>
    <mergeCell ref="P23:R23"/>
    <mergeCell ref="P24:R24"/>
    <mergeCell ref="J14:R14"/>
    <mergeCell ref="K13:R13"/>
    <mergeCell ref="A2:R2"/>
    <mergeCell ref="J3:R3"/>
    <mergeCell ref="K4:R4"/>
    <mergeCell ref="K5:R5"/>
    <mergeCell ref="K6:R6"/>
    <mergeCell ref="K7:R7"/>
    <mergeCell ref="K8:R8"/>
    <mergeCell ref="B16:H16"/>
    <mergeCell ref="I16:K16"/>
    <mergeCell ref="O16:R16"/>
    <mergeCell ref="A15:R15"/>
  </mergeCells>
  <printOptions horizontalCentered="1"/>
  <pageMargins left="0.70866141732283472" right="0.70866141732283472" top="0.74803149606299213" bottom="0.74803149606299213" header="0.31496062992125984" footer="0.31496062992125984"/>
  <pageSetup paperSize="9" scale="77" fitToHeight="0" orientation="portrait" verticalDpi="0" r:id="rId1"/>
  <headerFooter>
    <oddHeader>&amp;L&amp;G&amp;C&amp;10&amp;KC6C6C6
FLEXcel - Flexibilitätsbewertung für Industriebetriebe&amp;R&amp;10&amp;KC6C6C6
&amp;D</oddHeader>
    <oddFooter>&amp;L&amp;10&amp;KC6C6C6  Kontakt BEST:  bernd.riederer@best-research.eu
  Kontakt Montanuniversität-EVT: kerstin.pfleger-schopf@unileoben.ac.at&amp;C&amp;10&amp;KC6C6C6Page &amp;P of &amp;N&amp;R&amp;G
&amp;10&amp;KC6C6C6Alle Angaben ohne Gewähr.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75" r:id="rId4" name="Check Box 11">
              <controlPr defaultSize="0" autoFill="0" autoLine="0" autoPict="0">
                <anchor moveWithCells="1">
                  <from>
                    <xdr:col>14</xdr:col>
                    <xdr:colOff>85725</xdr:colOff>
                    <xdr:row>15</xdr:row>
                    <xdr:rowOff>180975</xdr:rowOff>
                  </from>
                  <to>
                    <xdr:col>15</xdr:col>
                    <xdr:colOff>85725</xdr:colOff>
                    <xdr:row>17</xdr:row>
                    <xdr:rowOff>28575</xdr:rowOff>
                  </to>
                </anchor>
              </controlPr>
            </control>
          </mc:Choice>
        </mc:AlternateContent>
        <mc:AlternateContent xmlns:mc="http://schemas.openxmlformats.org/markup-compatibility/2006">
          <mc:Choice Requires="x14">
            <control shapeId="11276" r:id="rId5" name="Check Box 12">
              <controlPr defaultSize="0" autoFill="0" autoLine="0" autoPict="0">
                <anchor moveWithCells="1">
                  <from>
                    <xdr:col>14</xdr:col>
                    <xdr:colOff>85725</xdr:colOff>
                    <xdr:row>16</xdr:row>
                    <xdr:rowOff>371475</xdr:rowOff>
                  </from>
                  <to>
                    <xdr:col>15</xdr:col>
                    <xdr:colOff>85725</xdr:colOff>
                    <xdr:row>18</xdr:row>
                    <xdr:rowOff>9525</xdr:rowOff>
                  </to>
                </anchor>
              </controlPr>
            </control>
          </mc:Choice>
        </mc:AlternateContent>
        <mc:AlternateContent xmlns:mc="http://schemas.openxmlformats.org/markup-compatibility/2006">
          <mc:Choice Requires="x14">
            <control shapeId="11277" r:id="rId6" name="Check Box 13">
              <controlPr defaultSize="0" autoFill="0" autoLine="0" autoPict="0">
                <anchor moveWithCells="1">
                  <from>
                    <xdr:col>14</xdr:col>
                    <xdr:colOff>85725</xdr:colOff>
                    <xdr:row>17</xdr:row>
                    <xdr:rowOff>371475</xdr:rowOff>
                  </from>
                  <to>
                    <xdr:col>15</xdr:col>
                    <xdr:colOff>85725</xdr:colOff>
                    <xdr:row>19</xdr:row>
                    <xdr:rowOff>28575</xdr:rowOff>
                  </to>
                </anchor>
              </controlPr>
            </control>
          </mc:Choice>
        </mc:AlternateContent>
        <mc:AlternateContent xmlns:mc="http://schemas.openxmlformats.org/markup-compatibility/2006">
          <mc:Choice Requires="x14">
            <control shapeId="11278" r:id="rId7" name="Check Box 14">
              <controlPr defaultSize="0" autoFill="0" autoLine="0" autoPict="0">
                <anchor moveWithCells="1">
                  <from>
                    <xdr:col>14</xdr:col>
                    <xdr:colOff>85725</xdr:colOff>
                    <xdr:row>18</xdr:row>
                    <xdr:rowOff>371475</xdr:rowOff>
                  </from>
                  <to>
                    <xdr:col>15</xdr:col>
                    <xdr:colOff>85725</xdr:colOff>
                    <xdr:row>20</xdr:row>
                    <xdr:rowOff>28575</xdr:rowOff>
                  </to>
                </anchor>
              </controlPr>
            </control>
          </mc:Choice>
        </mc:AlternateContent>
        <mc:AlternateContent xmlns:mc="http://schemas.openxmlformats.org/markup-compatibility/2006">
          <mc:Choice Requires="x14">
            <control shapeId="11279" r:id="rId8" name="Check Box 15">
              <controlPr defaultSize="0" autoFill="0" autoLine="0" autoPict="0">
                <anchor moveWithCells="1">
                  <from>
                    <xdr:col>14</xdr:col>
                    <xdr:colOff>85725</xdr:colOff>
                    <xdr:row>20</xdr:row>
                    <xdr:rowOff>9525</xdr:rowOff>
                  </from>
                  <to>
                    <xdr:col>15</xdr:col>
                    <xdr:colOff>85725</xdr:colOff>
                    <xdr:row>21</xdr:row>
                    <xdr:rowOff>47625</xdr:rowOff>
                  </to>
                </anchor>
              </controlPr>
            </control>
          </mc:Choice>
        </mc:AlternateContent>
        <mc:AlternateContent xmlns:mc="http://schemas.openxmlformats.org/markup-compatibility/2006">
          <mc:Choice Requires="x14">
            <control shapeId="11299" r:id="rId9" name="Check Box 35">
              <controlPr defaultSize="0" autoFill="0" autoLine="0" autoPict="0">
                <anchor moveWithCells="1">
                  <from>
                    <xdr:col>14</xdr:col>
                    <xdr:colOff>85725</xdr:colOff>
                    <xdr:row>21</xdr:row>
                    <xdr:rowOff>28575</xdr:rowOff>
                  </from>
                  <to>
                    <xdr:col>15</xdr:col>
                    <xdr:colOff>85725</xdr:colOff>
                    <xdr:row>22</xdr:row>
                    <xdr:rowOff>38100</xdr:rowOff>
                  </to>
                </anchor>
              </controlPr>
            </control>
          </mc:Choice>
        </mc:AlternateContent>
        <mc:AlternateContent xmlns:mc="http://schemas.openxmlformats.org/markup-compatibility/2006">
          <mc:Choice Requires="x14">
            <control shapeId="11300" r:id="rId10" name="Check Box 36">
              <controlPr defaultSize="0" autoFill="0" autoLine="0" autoPict="0">
                <anchor moveWithCells="1">
                  <from>
                    <xdr:col>14</xdr:col>
                    <xdr:colOff>85725</xdr:colOff>
                    <xdr:row>22</xdr:row>
                    <xdr:rowOff>9525</xdr:rowOff>
                  </from>
                  <to>
                    <xdr:col>15</xdr:col>
                    <xdr:colOff>85725</xdr:colOff>
                    <xdr:row>23</xdr:row>
                    <xdr:rowOff>28575</xdr:rowOff>
                  </to>
                </anchor>
              </controlPr>
            </control>
          </mc:Choice>
        </mc:AlternateContent>
        <mc:AlternateContent xmlns:mc="http://schemas.openxmlformats.org/markup-compatibility/2006">
          <mc:Choice Requires="x14">
            <control shapeId="11301" r:id="rId11" name="Check Box 37">
              <controlPr defaultSize="0" autoFill="0" autoLine="0" autoPict="0">
                <anchor moveWithCells="1">
                  <from>
                    <xdr:col>14</xdr:col>
                    <xdr:colOff>85725</xdr:colOff>
                    <xdr:row>23</xdr:row>
                    <xdr:rowOff>9525</xdr:rowOff>
                  </from>
                  <to>
                    <xdr:col>15</xdr:col>
                    <xdr:colOff>85725</xdr:colOff>
                    <xdr:row>24</xdr:row>
                    <xdr:rowOff>28575</xdr:rowOff>
                  </to>
                </anchor>
              </controlPr>
            </control>
          </mc:Choice>
        </mc:AlternateContent>
        <mc:AlternateContent xmlns:mc="http://schemas.openxmlformats.org/markup-compatibility/2006">
          <mc:Choice Requires="x14">
            <control shapeId="11302" r:id="rId12" name="Check Box 38">
              <controlPr defaultSize="0" autoFill="0" autoLine="0" autoPict="0">
                <anchor moveWithCells="1">
                  <from>
                    <xdr:col>14</xdr:col>
                    <xdr:colOff>85725</xdr:colOff>
                    <xdr:row>23</xdr:row>
                    <xdr:rowOff>371475</xdr:rowOff>
                  </from>
                  <to>
                    <xdr:col>15</xdr:col>
                    <xdr:colOff>85725</xdr:colOff>
                    <xdr:row>25</xdr:row>
                    <xdr:rowOff>9525</xdr:rowOff>
                  </to>
                </anchor>
              </controlPr>
            </control>
          </mc:Choice>
        </mc:AlternateContent>
        <mc:AlternateContent xmlns:mc="http://schemas.openxmlformats.org/markup-compatibility/2006">
          <mc:Choice Requires="x14">
            <control shapeId="11304" r:id="rId13" name="Option Button 40">
              <controlPr defaultSize="0" autoFill="0" autoLine="0" autoPict="0">
                <anchor moveWithCells="1">
                  <from>
                    <xdr:col>11</xdr:col>
                    <xdr:colOff>133350</xdr:colOff>
                    <xdr:row>16</xdr:row>
                    <xdr:rowOff>76200</xdr:rowOff>
                  </from>
                  <to>
                    <xdr:col>11</xdr:col>
                    <xdr:colOff>438150</xdr:colOff>
                    <xdr:row>16</xdr:row>
                    <xdr:rowOff>295275</xdr:rowOff>
                  </to>
                </anchor>
              </controlPr>
            </control>
          </mc:Choice>
        </mc:AlternateContent>
        <mc:AlternateContent xmlns:mc="http://schemas.openxmlformats.org/markup-compatibility/2006">
          <mc:Choice Requires="x14">
            <control shapeId="11305" r:id="rId14" name="Option Button 41">
              <controlPr defaultSize="0" autoFill="0" autoLine="0" autoPict="0">
                <anchor moveWithCells="1">
                  <from>
                    <xdr:col>12</xdr:col>
                    <xdr:colOff>123825</xdr:colOff>
                    <xdr:row>16</xdr:row>
                    <xdr:rowOff>76200</xdr:rowOff>
                  </from>
                  <to>
                    <xdr:col>12</xdr:col>
                    <xdr:colOff>428625</xdr:colOff>
                    <xdr:row>16</xdr:row>
                    <xdr:rowOff>295275</xdr:rowOff>
                  </to>
                </anchor>
              </controlPr>
            </control>
          </mc:Choice>
        </mc:AlternateContent>
        <mc:AlternateContent xmlns:mc="http://schemas.openxmlformats.org/markup-compatibility/2006">
          <mc:Choice Requires="x14">
            <control shapeId="11306" r:id="rId15" name="Option Button 42">
              <controlPr defaultSize="0" autoFill="0" autoLine="0" autoPict="0">
                <anchor moveWithCells="1">
                  <from>
                    <xdr:col>13</xdr:col>
                    <xdr:colOff>180975</xdr:colOff>
                    <xdr:row>16</xdr:row>
                    <xdr:rowOff>76200</xdr:rowOff>
                  </from>
                  <to>
                    <xdr:col>13</xdr:col>
                    <xdr:colOff>485775</xdr:colOff>
                    <xdr:row>16</xdr:row>
                    <xdr:rowOff>295275</xdr:rowOff>
                  </to>
                </anchor>
              </controlPr>
            </control>
          </mc:Choice>
        </mc:AlternateContent>
        <mc:AlternateContent xmlns:mc="http://schemas.openxmlformats.org/markup-compatibility/2006">
          <mc:Choice Requires="x14">
            <control shapeId="11307" r:id="rId16" name="Option Button 43">
              <controlPr defaultSize="0" autoFill="0" autoLine="0" autoPict="0">
                <anchor moveWithCells="1">
                  <from>
                    <xdr:col>11</xdr:col>
                    <xdr:colOff>133350</xdr:colOff>
                    <xdr:row>17</xdr:row>
                    <xdr:rowOff>76200</xdr:rowOff>
                  </from>
                  <to>
                    <xdr:col>11</xdr:col>
                    <xdr:colOff>438150</xdr:colOff>
                    <xdr:row>17</xdr:row>
                    <xdr:rowOff>295275</xdr:rowOff>
                  </to>
                </anchor>
              </controlPr>
            </control>
          </mc:Choice>
        </mc:AlternateContent>
        <mc:AlternateContent xmlns:mc="http://schemas.openxmlformats.org/markup-compatibility/2006">
          <mc:Choice Requires="x14">
            <control shapeId="11308" r:id="rId17" name="Option Button 44">
              <controlPr defaultSize="0" autoFill="0" autoLine="0" autoPict="0">
                <anchor moveWithCells="1">
                  <from>
                    <xdr:col>12</xdr:col>
                    <xdr:colOff>123825</xdr:colOff>
                    <xdr:row>17</xdr:row>
                    <xdr:rowOff>76200</xdr:rowOff>
                  </from>
                  <to>
                    <xdr:col>12</xdr:col>
                    <xdr:colOff>428625</xdr:colOff>
                    <xdr:row>17</xdr:row>
                    <xdr:rowOff>295275</xdr:rowOff>
                  </to>
                </anchor>
              </controlPr>
            </control>
          </mc:Choice>
        </mc:AlternateContent>
        <mc:AlternateContent xmlns:mc="http://schemas.openxmlformats.org/markup-compatibility/2006">
          <mc:Choice Requires="x14">
            <control shapeId="11309" r:id="rId18" name="Option Button 45">
              <controlPr defaultSize="0" autoFill="0" autoLine="0" autoPict="0">
                <anchor moveWithCells="1">
                  <from>
                    <xdr:col>13</xdr:col>
                    <xdr:colOff>180975</xdr:colOff>
                    <xdr:row>17</xdr:row>
                    <xdr:rowOff>76200</xdr:rowOff>
                  </from>
                  <to>
                    <xdr:col>13</xdr:col>
                    <xdr:colOff>485775</xdr:colOff>
                    <xdr:row>17</xdr:row>
                    <xdr:rowOff>295275</xdr:rowOff>
                  </to>
                </anchor>
              </controlPr>
            </control>
          </mc:Choice>
        </mc:AlternateContent>
        <mc:AlternateContent xmlns:mc="http://schemas.openxmlformats.org/markup-compatibility/2006">
          <mc:Choice Requires="x14">
            <control shapeId="11310" r:id="rId19" name="Option Button 46">
              <controlPr defaultSize="0" autoFill="0" autoLine="0" autoPict="0">
                <anchor moveWithCells="1">
                  <from>
                    <xdr:col>11</xdr:col>
                    <xdr:colOff>133350</xdr:colOff>
                    <xdr:row>18</xdr:row>
                    <xdr:rowOff>85725</xdr:rowOff>
                  </from>
                  <to>
                    <xdr:col>11</xdr:col>
                    <xdr:colOff>438150</xdr:colOff>
                    <xdr:row>18</xdr:row>
                    <xdr:rowOff>304800</xdr:rowOff>
                  </to>
                </anchor>
              </controlPr>
            </control>
          </mc:Choice>
        </mc:AlternateContent>
        <mc:AlternateContent xmlns:mc="http://schemas.openxmlformats.org/markup-compatibility/2006">
          <mc:Choice Requires="x14">
            <control shapeId="11311" r:id="rId20" name="Option Button 47">
              <controlPr defaultSize="0" autoFill="0" autoLine="0" autoPict="0">
                <anchor moveWithCells="1">
                  <from>
                    <xdr:col>12</xdr:col>
                    <xdr:colOff>123825</xdr:colOff>
                    <xdr:row>18</xdr:row>
                    <xdr:rowOff>85725</xdr:rowOff>
                  </from>
                  <to>
                    <xdr:col>12</xdr:col>
                    <xdr:colOff>428625</xdr:colOff>
                    <xdr:row>18</xdr:row>
                    <xdr:rowOff>304800</xdr:rowOff>
                  </to>
                </anchor>
              </controlPr>
            </control>
          </mc:Choice>
        </mc:AlternateContent>
        <mc:AlternateContent xmlns:mc="http://schemas.openxmlformats.org/markup-compatibility/2006">
          <mc:Choice Requires="x14">
            <control shapeId="11312" r:id="rId21" name="Option Button 48">
              <controlPr defaultSize="0" autoFill="0" autoLine="0" autoPict="0">
                <anchor moveWithCells="1">
                  <from>
                    <xdr:col>13</xdr:col>
                    <xdr:colOff>180975</xdr:colOff>
                    <xdr:row>18</xdr:row>
                    <xdr:rowOff>85725</xdr:rowOff>
                  </from>
                  <to>
                    <xdr:col>13</xdr:col>
                    <xdr:colOff>485775</xdr:colOff>
                    <xdr:row>18</xdr:row>
                    <xdr:rowOff>304800</xdr:rowOff>
                  </to>
                </anchor>
              </controlPr>
            </control>
          </mc:Choice>
        </mc:AlternateContent>
        <mc:AlternateContent xmlns:mc="http://schemas.openxmlformats.org/markup-compatibility/2006">
          <mc:Choice Requires="x14">
            <control shapeId="11313" r:id="rId22" name="Option Button 49">
              <controlPr defaultSize="0" autoFill="0" autoLine="0" autoPict="0">
                <anchor moveWithCells="1">
                  <from>
                    <xdr:col>11</xdr:col>
                    <xdr:colOff>133350</xdr:colOff>
                    <xdr:row>19</xdr:row>
                    <xdr:rowOff>85725</xdr:rowOff>
                  </from>
                  <to>
                    <xdr:col>11</xdr:col>
                    <xdr:colOff>438150</xdr:colOff>
                    <xdr:row>19</xdr:row>
                    <xdr:rowOff>304800</xdr:rowOff>
                  </to>
                </anchor>
              </controlPr>
            </control>
          </mc:Choice>
        </mc:AlternateContent>
        <mc:AlternateContent xmlns:mc="http://schemas.openxmlformats.org/markup-compatibility/2006">
          <mc:Choice Requires="x14">
            <control shapeId="11314" r:id="rId23" name="Option Button 50">
              <controlPr defaultSize="0" autoFill="0" autoLine="0" autoPict="0">
                <anchor moveWithCells="1">
                  <from>
                    <xdr:col>12</xdr:col>
                    <xdr:colOff>123825</xdr:colOff>
                    <xdr:row>19</xdr:row>
                    <xdr:rowOff>85725</xdr:rowOff>
                  </from>
                  <to>
                    <xdr:col>12</xdr:col>
                    <xdr:colOff>428625</xdr:colOff>
                    <xdr:row>19</xdr:row>
                    <xdr:rowOff>304800</xdr:rowOff>
                  </to>
                </anchor>
              </controlPr>
            </control>
          </mc:Choice>
        </mc:AlternateContent>
        <mc:AlternateContent xmlns:mc="http://schemas.openxmlformats.org/markup-compatibility/2006">
          <mc:Choice Requires="x14">
            <control shapeId="11315" r:id="rId24" name="Option Button 51">
              <controlPr defaultSize="0" autoFill="0" autoLine="0" autoPict="0">
                <anchor moveWithCells="1">
                  <from>
                    <xdr:col>13</xdr:col>
                    <xdr:colOff>180975</xdr:colOff>
                    <xdr:row>19</xdr:row>
                    <xdr:rowOff>85725</xdr:rowOff>
                  </from>
                  <to>
                    <xdr:col>13</xdr:col>
                    <xdr:colOff>485775</xdr:colOff>
                    <xdr:row>19</xdr:row>
                    <xdr:rowOff>304800</xdr:rowOff>
                  </to>
                </anchor>
              </controlPr>
            </control>
          </mc:Choice>
        </mc:AlternateContent>
        <mc:AlternateContent xmlns:mc="http://schemas.openxmlformats.org/markup-compatibility/2006">
          <mc:Choice Requires="x14">
            <control shapeId="11316" r:id="rId25" name="Option Button 52">
              <controlPr defaultSize="0" autoFill="0" autoLine="0" autoPict="0">
                <anchor moveWithCells="1">
                  <from>
                    <xdr:col>11</xdr:col>
                    <xdr:colOff>133350</xdr:colOff>
                    <xdr:row>20</xdr:row>
                    <xdr:rowOff>85725</xdr:rowOff>
                  </from>
                  <to>
                    <xdr:col>11</xdr:col>
                    <xdr:colOff>438150</xdr:colOff>
                    <xdr:row>20</xdr:row>
                    <xdr:rowOff>304800</xdr:rowOff>
                  </to>
                </anchor>
              </controlPr>
            </control>
          </mc:Choice>
        </mc:AlternateContent>
        <mc:AlternateContent xmlns:mc="http://schemas.openxmlformats.org/markup-compatibility/2006">
          <mc:Choice Requires="x14">
            <control shapeId="11317" r:id="rId26" name="Option Button 53">
              <controlPr defaultSize="0" autoFill="0" autoLine="0" autoPict="0">
                <anchor moveWithCells="1">
                  <from>
                    <xdr:col>12</xdr:col>
                    <xdr:colOff>123825</xdr:colOff>
                    <xdr:row>20</xdr:row>
                    <xdr:rowOff>85725</xdr:rowOff>
                  </from>
                  <to>
                    <xdr:col>12</xdr:col>
                    <xdr:colOff>428625</xdr:colOff>
                    <xdr:row>20</xdr:row>
                    <xdr:rowOff>304800</xdr:rowOff>
                  </to>
                </anchor>
              </controlPr>
            </control>
          </mc:Choice>
        </mc:AlternateContent>
        <mc:AlternateContent xmlns:mc="http://schemas.openxmlformats.org/markup-compatibility/2006">
          <mc:Choice Requires="x14">
            <control shapeId="11318" r:id="rId27" name="Option Button 54">
              <controlPr defaultSize="0" autoFill="0" autoLine="0" autoPict="0">
                <anchor moveWithCells="1">
                  <from>
                    <xdr:col>13</xdr:col>
                    <xdr:colOff>180975</xdr:colOff>
                    <xdr:row>20</xdr:row>
                    <xdr:rowOff>85725</xdr:rowOff>
                  </from>
                  <to>
                    <xdr:col>13</xdr:col>
                    <xdr:colOff>485775</xdr:colOff>
                    <xdr:row>20</xdr:row>
                    <xdr:rowOff>304800</xdr:rowOff>
                  </to>
                </anchor>
              </controlPr>
            </control>
          </mc:Choice>
        </mc:AlternateContent>
        <mc:AlternateContent xmlns:mc="http://schemas.openxmlformats.org/markup-compatibility/2006">
          <mc:Choice Requires="x14">
            <control shapeId="11319" r:id="rId28" name="Option Button 55">
              <controlPr defaultSize="0" autoFill="0" autoLine="0" autoPict="0">
                <anchor moveWithCells="1">
                  <from>
                    <xdr:col>11</xdr:col>
                    <xdr:colOff>133350</xdr:colOff>
                    <xdr:row>21</xdr:row>
                    <xdr:rowOff>95250</xdr:rowOff>
                  </from>
                  <to>
                    <xdr:col>11</xdr:col>
                    <xdr:colOff>438150</xdr:colOff>
                    <xdr:row>21</xdr:row>
                    <xdr:rowOff>314325</xdr:rowOff>
                  </to>
                </anchor>
              </controlPr>
            </control>
          </mc:Choice>
        </mc:AlternateContent>
        <mc:AlternateContent xmlns:mc="http://schemas.openxmlformats.org/markup-compatibility/2006">
          <mc:Choice Requires="x14">
            <control shapeId="11320" r:id="rId29" name="Option Button 56">
              <controlPr defaultSize="0" autoFill="0" autoLine="0" autoPict="0">
                <anchor moveWithCells="1">
                  <from>
                    <xdr:col>12</xdr:col>
                    <xdr:colOff>123825</xdr:colOff>
                    <xdr:row>21</xdr:row>
                    <xdr:rowOff>95250</xdr:rowOff>
                  </from>
                  <to>
                    <xdr:col>12</xdr:col>
                    <xdr:colOff>428625</xdr:colOff>
                    <xdr:row>21</xdr:row>
                    <xdr:rowOff>314325</xdr:rowOff>
                  </to>
                </anchor>
              </controlPr>
            </control>
          </mc:Choice>
        </mc:AlternateContent>
        <mc:AlternateContent xmlns:mc="http://schemas.openxmlformats.org/markup-compatibility/2006">
          <mc:Choice Requires="x14">
            <control shapeId="11321" r:id="rId30" name="Option Button 57">
              <controlPr defaultSize="0" autoFill="0" autoLine="0" autoPict="0">
                <anchor moveWithCells="1">
                  <from>
                    <xdr:col>13</xdr:col>
                    <xdr:colOff>180975</xdr:colOff>
                    <xdr:row>21</xdr:row>
                    <xdr:rowOff>95250</xdr:rowOff>
                  </from>
                  <to>
                    <xdr:col>13</xdr:col>
                    <xdr:colOff>485775</xdr:colOff>
                    <xdr:row>21</xdr:row>
                    <xdr:rowOff>314325</xdr:rowOff>
                  </to>
                </anchor>
              </controlPr>
            </control>
          </mc:Choice>
        </mc:AlternateContent>
        <mc:AlternateContent xmlns:mc="http://schemas.openxmlformats.org/markup-compatibility/2006">
          <mc:Choice Requires="x14">
            <control shapeId="11322" r:id="rId31" name="Option Button 58">
              <controlPr defaultSize="0" autoFill="0" autoLine="0" autoPict="0">
                <anchor moveWithCells="1">
                  <from>
                    <xdr:col>11</xdr:col>
                    <xdr:colOff>133350</xdr:colOff>
                    <xdr:row>22</xdr:row>
                    <xdr:rowOff>95250</xdr:rowOff>
                  </from>
                  <to>
                    <xdr:col>11</xdr:col>
                    <xdr:colOff>438150</xdr:colOff>
                    <xdr:row>22</xdr:row>
                    <xdr:rowOff>314325</xdr:rowOff>
                  </to>
                </anchor>
              </controlPr>
            </control>
          </mc:Choice>
        </mc:AlternateContent>
        <mc:AlternateContent xmlns:mc="http://schemas.openxmlformats.org/markup-compatibility/2006">
          <mc:Choice Requires="x14">
            <control shapeId="11323" r:id="rId32" name="Option Button 59">
              <controlPr defaultSize="0" autoFill="0" autoLine="0" autoPict="0">
                <anchor moveWithCells="1">
                  <from>
                    <xdr:col>12</xdr:col>
                    <xdr:colOff>123825</xdr:colOff>
                    <xdr:row>22</xdr:row>
                    <xdr:rowOff>95250</xdr:rowOff>
                  </from>
                  <to>
                    <xdr:col>12</xdr:col>
                    <xdr:colOff>428625</xdr:colOff>
                    <xdr:row>22</xdr:row>
                    <xdr:rowOff>314325</xdr:rowOff>
                  </to>
                </anchor>
              </controlPr>
            </control>
          </mc:Choice>
        </mc:AlternateContent>
        <mc:AlternateContent xmlns:mc="http://schemas.openxmlformats.org/markup-compatibility/2006">
          <mc:Choice Requires="x14">
            <control shapeId="11324" r:id="rId33" name="Option Button 60">
              <controlPr defaultSize="0" autoFill="0" autoLine="0" autoPict="0">
                <anchor moveWithCells="1">
                  <from>
                    <xdr:col>13</xdr:col>
                    <xdr:colOff>180975</xdr:colOff>
                    <xdr:row>22</xdr:row>
                    <xdr:rowOff>95250</xdr:rowOff>
                  </from>
                  <to>
                    <xdr:col>13</xdr:col>
                    <xdr:colOff>485775</xdr:colOff>
                    <xdr:row>22</xdr:row>
                    <xdr:rowOff>314325</xdr:rowOff>
                  </to>
                </anchor>
              </controlPr>
            </control>
          </mc:Choice>
        </mc:AlternateContent>
        <mc:AlternateContent xmlns:mc="http://schemas.openxmlformats.org/markup-compatibility/2006">
          <mc:Choice Requires="x14">
            <control shapeId="11325" r:id="rId34" name="Option Button 61">
              <controlPr defaultSize="0" autoFill="0" autoLine="0" autoPict="0">
                <anchor moveWithCells="1">
                  <from>
                    <xdr:col>11</xdr:col>
                    <xdr:colOff>133350</xdr:colOff>
                    <xdr:row>23</xdr:row>
                    <xdr:rowOff>95250</xdr:rowOff>
                  </from>
                  <to>
                    <xdr:col>11</xdr:col>
                    <xdr:colOff>438150</xdr:colOff>
                    <xdr:row>23</xdr:row>
                    <xdr:rowOff>314325</xdr:rowOff>
                  </to>
                </anchor>
              </controlPr>
            </control>
          </mc:Choice>
        </mc:AlternateContent>
        <mc:AlternateContent xmlns:mc="http://schemas.openxmlformats.org/markup-compatibility/2006">
          <mc:Choice Requires="x14">
            <control shapeId="11326" r:id="rId35" name="Option Button 62">
              <controlPr defaultSize="0" autoFill="0" autoLine="0" autoPict="0">
                <anchor moveWithCells="1">
                  <from>
                    <xdr:col>12</xdr:col>
                    <xdr:colOff>123825</xdr:colOff>
                    <xdr:row>23</xdr:row>
                    <xdr:rowOff>95250</xdr:rowOff>
                  </from>
                  <to>
                    <xdr:col>12</xdr:col>
                    <xdr:colOff>428625</xdr:colOff>
                    <xdr:row>23</xdr:row>
                    <xdr:rowOff>314325</xdr:rowOff>
                  </to>
                </anchor>
              </controlPr>
            </control>
          </mc:Choice>
        </mc:AlternateContent>
        <mc:AlternateContent xmlns:mc="http://schemas.openxmlformats.org/markup-compatibility/2006">
          <mc:Choice Requires="x14">
            <control shapeId="11327" r:id="rId36" name="Option Button 63">
              <controlPr defaultSize="0" autoFill="0" autoLine="0" autoPict="0">
                <anchor moveWithCells="1">
                  <from>
                    <xdr:col>13</xdr:col>
                    <xdr:colOff>180975</xdr:colOff>
                    <xdr:row>23</xdr:row>
                    <xdr:rowOff>95250</xdr:rowOff>
                  </from>
                  <to>
                    <xdr:col>13</xdr:col>
                    <xdr:colOff>485775</xdr:colOff>
                    <xdr:row>23</xdr:row>
                    <xdr:rowOff>314325</xdr:rowOff>
                  </to>
                </anchor>
              </controlPr>
            </control>
          </mc:Choice>
        </mc:AlternateContent>
        <mc:AlternateContent xmlns:mc="http://schemas.openxmlformats.org/markup-compatibility/2006">
          <mc:Choice Requires="x14">
            <control shapeId="11328" r:id="rId37" name="Option Button 64">
              <controlPr defaultSize="0" autoFill="0" autoLine="0" autoPict="0">
                <anchor moveWithCells="1">
                  <from>
                    <xdr:col>11</xdr:col>
                    <xdr:colOff>133350</xdr:colOff>
                    <xdr:row>24</xdr:row>
                    <xdr:rowOff>104775</xdr:rowOff>
                  </from>
                  <to>
                    <xdr:col>11</xdr:col>
                    <xdr:colOff>438150</xdr:colOff>
                    <xdr:row>24</xdr:row>
                    <xdr:rowOff>323850</xdr:rowOff>
                  </to>
                </anchor>
              </controlPr>
            </control>
          </mc:Choice>
        </mc:AlternateContent>
        <mc:AlternateContent xmlns:mc="http://schemas.openxmlformats.org/markup-compatibility/2006">
          <mc:Choice Requires="x14">
            <control shapeId="11329" r:id="rId38" name="Option Button 65">
              <controlPr defaultSize="0" autoFill="0" autoLine="0" autoPict="0">
                <anchor moveWithCells="1">
                  <from>
                    <xdr:col>12</xdr:col>
                    <xdr:colOff>123825</xdr:colOff>
                    <xdr:row>24</xdr:row>
                    <xdr:rowOff>104775</xdr:rowOff>
                  </from>
                  <to>
                    <xdr:col>12</xdr:col>
                    <xdr:colOff>428625</xdr:colOff>
                    <xdr:row>24</xdr:row>
                    <xdr:rowOff>323850</xdr:rowOff>
                  </to>
                </anchor>
              </controlPr>
            </control>
          </mc:Choice>
        </mc:AlternateContent>
        <mc:AlternateContent xmlns:mc="http://schemas.openxmlformats.org/markup-compatibility/2006">
          <mc:Choice Requires="x14">
            <control shapeId="11330" r:id="rId39" name="Option Button 66">
              <controlPr defaultSize="0" autoFill="0" autoLine="0" autoPict="0">
                <anchor moveWithCells="1">
                  <from>
                    <xdr:col>13</xdr:col>
                    <xdr:colOff>180975</xdr:colOff>
                    <xdr:row>24</xdr:row>
                    <xdr:rowOff>104775</xdr:rowOff>
                  </from>
                  <to>
                    <xdr:col>13</xdr:col>
                    <xdr:colOff>485775</xdr:colOff>
                    <xdr:row>24</xdr:row>
                    <xdr:rowOff>323850</xdr:rowOff>
                  </to>
                </anchor>
              </controlPr>
            </control>
          </mc:Choice>
        </mc:AlternateContent>
        <mc:AlternateContent xmlns:mc="http://schemas.openxmlformats.org/markup-compatibility/2006">
          <mc:Choice Requires="x14">
            <control shapeId="11334" r:id="rId40" name="Group Box 70">
              <controlPr defaultSize="0" autoFill="0" autoPict="0">
                <anchor moveWithCells="1">
                  <from>
                    <xdr:col>10</xdr:col>
                    <xdr:colOff>333375</xdr:colOff>
                    <xdr:row>15</xdr:row>
                    <xdr:rowOff>190500</xdr:rowOff>
                  </from>
                  <to>
                    <xdr:col>14</xdr:col>
                    <xdr:colOff>0</xdr:colOff>
                    <xdr:row>17</xdr:row>
                    <xdr:rowOff>0</xdr:rowOff>
                  </to>
                </anchor>
              </controlPr>
            </control>
          </mc:Choice>
        </mc:AlternateContent>
        <mc:AlternateContent xmlns:mc="http://schemas.openxmlformats.org/markup-compatibility/2006">
          <mc:Choice Requires="x14">
            <control shapeId="11335" r:id="rId41" name="Group Box 71">
              <controlPr defaultSize="0" autoFill="0" autoPict="0">
                <anchor moveWithCells="1">
                  <from>
                    <xdr:col>10</xdr:col>
                    <xdr:colOff>333375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11336" r:id="rId42" name="Group Box 72">
              <controlPr defaultSize="0" autoFill="0" autoPict="0">
                <anchor moveWithCells="1">
                  <from>
                    <xdr:col>10</xdr:col>
                    <xdr:colOff>333375</xdr:colOff>
                    <xdr:row>18</xdr:row>
                    <xdr:rowOff>0</xdr:rowOff>
                  </from>
                  <to>
                    <xdr:col>14</xdr:col>
                    <xdr:colOff>0</xdr:colOff>
                    <xdr:row>19</xdr:row>
                    <xdr:rowOff>0</xdr:rowOff>
                  </to>
                </anchor>
              </controlPr>
            </control>
          </mc:Choice>
        </mc:AlternateContent>
        <mc:AlternateContent xmlns:mc="http://schemas.openxmlformats.org/markup-compatibility/2006">
          <mc:Choice Requires="x14">
            <control shapeId="11337" r:id="rId43" name="Group Box 73">
              <controlPr defaultSize="0" autoFill="0" autoPict="0">
                <anchor moveWithCells="1">
                  <from>
                    <xdr:col>10</xdr:col>
                    <xdr:colOff>333375</xdr:colOff>
                    <xdr:row>19</xdr:row>
                    <xdr:rowOff>0</xdr:rowOff>
                  </from>
                  <to>
                    <xdr:col>14</xdr:col>
                    <xdr:colOff>0</xdr:colOff>
                    <xdr:row>20</xdr:row>
                    <xdr:rowOff>0</xdr:rowOff>
                  </to>
                </anchor>
              </controlPr>
            </control>
          </mc:Choice>
        </mc:AlternateContent>
        <mc:AlternateContent xmlns:mc="http://schemas.openxmlformats.org/markup-compatibility/2006">
          <mc:Choice Requires="x14">
            <control shapeId="11338" r:id="rId44" name="Group Box 74">
              <controlPr defaultSize="0" autoFill="0" autoPict="0">
                <anchor moveWithCells="1">
                  <from>
                    <xdr:col>10</xdr:col>
                    <xdr:colOff>333375</xdr:colOff>
                    <xdr:row>20</xdr:row>
                    <xdr:rowOff>0</xdr:rowOff>
                  </from>
                  <to>
                    <xdr:col>14</xdr:col>
                    <xdr:colOff>0</xdr:colOff>
                    <xdr:row>21</xdr:row>
                    <xdr:rowOff>0</xdr:rowOff>
                  </to>
                </anchor>
              </controlPr>
            </control>
          </mc:Choice>
        </mc:AlternateContent>
        <mc:AlternateContent xmlns:mc="http://schemas.openxmlformats.org/markup-compatibility/2006">
          <mc:Choice Requires="x14">
            <control shapeId="11339" r:id="rId45" name="Group Box 75">
              <controlPr defaultSize="0" autoFill="0" autoPict="0">
                <anchor moveWithCells="1">
                  <from>
                    <xdr:col>10</xdr:col>
                    <xdr:colOff>333375</xdr:colOff>
                    <xdr:row>21</xdr:row>
                    <xdr:rowOff>0</xdr:rowOff>
                  </from>
                  <to>
                    <xdr:col>14</xdr:col>
                    <xdr:colOff>0</xdr:colOff>
                    <xdr:row>22</xdr:row>
                    <xdr:rowOff>0</xdr:rowOff>
                  </to>
                </anchor>
              </controlPr>
            </control>
          </mc:Choice>
        </mc:AlternateContent>
        <mc:AlternateContent xmlns:mc="http://schemas.openxmlformats.org/markup-compatibility/2006">
          <mc:Choice Requires="x14">
            <control shapeId="11340" r:id="rId46" name="Group Box 76">
              <controlPr defaultSize="0" autoFill="0" autoPict="0">
                <anchor moveWithCells="1">
                  <from>
                    <xdr:col>10</xdr:col>
                    <xdr:colOff>333375</xdr:colOff>
                    <xdr:row>22</xdr:row>
                    <xdr:rowOff>0</xdr:rowOff>
                  </from>
                  <to>
                    <xdr:col>14</xdr:col>
                    <xdr:colOff>0</xdr:colOff>
                    <xdr:row>23</xdr:row>
                    <xdr:rowOff>0</xdr:rowOff>
                  </to>
                </anchor>
              </controlPr>
            </control>
          </mc:Choice>
        </mc:AlternateContent>
        <mc:AlternateContent xmlns:mc="http://schemas.openxmlformats.org/markup-compatibility/2006">
          <mc:Choice Requires="x14">
            <control shapeId="11341" r:id="rId47" name="Group Box 77">
              <controlPr defaultSize="0" autoFill="0" autoPict="0">
                <anchor moveWithCells="1">
                  <from>
                    <xdr:col>10</xdr:col>
                    <xdr:colOff>333375</xdr:colOff>
                    <xdr:row>23</xdr:row>
                    <xdr:rowOff>0</xdr:rowOff>
                  </from>
                  <to>
                    <xdr:col>14</xdr:col>
                    <xdr:colOff>0</xdr:colOff>
                    <xdr:row>24</xdr:row>
                    <xdr:rowOff>0</xdr:rowOff>
                  </to>
                </anchor>
              </controlPr>
            </control>
          </mc:Choice>
        </mc:AlternateContent>
        <mc:AlternateContent xmlns:mc="http://schemas.openxmlformats.org/markup-compatibility/2006">
          <mc:Choice Requires="x14">
            <control shapeId="11342" r:id="rId48" name="Group Box 78">
              <controlPr defaultSize="0" autoFill="0" autoPict="0">
                <anchor moveWithCells="1">
                  <from>
                    <xdr:col>10</xdr:col>
                    <xdr:colOff>333375</xdr:colOff>
                    <xdr:row>24</xdr:row>
                    <xdr:rowOff>0</xdr:rowOff>
                  </from>
                  <to>
                    <xdr:col>14</xdr:col>
                    <xdr:colOff>0</xdr:colOff>
                    <xdr:row>25</xdr:row>
                    <xdr:rowOff>0</xdr:rowOff>
                  </to>
                </anchor>
              </controlPr>
            </control>
          </mc:Choice>
        </mc:AlternateContent>
        <mc:AlternateContent xmlns:mc="http://schemas.openxmlformats.org/markup-compatibility/2006">
          <mc:Choice Requires="x14">
            <control shapeId="11303" r:id="rId49" name="Check Box 39">
              <controlPr defaultSize="0" autoFill="0" autoLine="0" autoPict="0">
                <anchor moveWithCells="1">
                  <from>
                    <xdr:col>14</xdr:col>
                    <xdr:colOff>85725</xdr:colOff>
                    <xdr:row>25</xdr:row>
                    <xdr:rowOff>85725</xdr:rowOff>
                  </from>
                  <to>
                    <xdr:col>15</xdr:col>
                    <xdr:colOff>85725</xdr:colOff>
                    <xdr:row>26</xdr:row>
                    <xdr:rowOff>66675</xdr:rowOff>
                  </to>
                </anchor>
              </controlPr>
            </control>
          </mc:Choice>
        </mc:AlternateContent>
        <mc:AlternateContent xmlns:mc="http://schemas.openxmlformats.org/markup-compatibility/2006">
          <mc:Choice Requires="x14">
            <control shapeId="17" r:id="rId50" name="Option Button 67">
              <controlPr defaultSize="0" autoFill="0" autoLine="0" autoPict="0">
                <anchor moveWithCells="1" sizeWithCells="1">
                  <from>
                    <xdr:col>11</xdr:col>
                    <xdr:colOff>133350</xdr:colOff>
                    <xdr:row>25</xdr:row>
                    <xdr:rowOff>142875</xdr:rowOff>
                  </from>
                  <to>
                    <xdr:col>11</xdr:col>
                    <xdr:colOff>438150</xdr:colOff>
                    <xdr:row>25</xdr:row>
                    <xdr:rowOff>371475</xdr:rowOff>
                  </to>
                </anchor>
              </controlPr>
            </control>
          </mc:Choice>
        </mc:AlternateContent>
        <mc:AlternateContent xmlns:mc="http://schemas.openxmlformats.org/markup-compatibility/2006">
          <mc:Choice Requires="x14">
            <control shapeId="19" r:id="rId51" name="Option Button 68">
              <controlPr defaultSize="0" autoFill="0" autoLine="0" autoPict="0">
                <anchor moveWithCells="1" sizeWithCells="1">
                  <from>
                    <xdr:col>12</xdr:col>
                    <xdr:colOff>123825</xdr:colOff>
                    <xdr:row>25</xdr:row>
                    <xdr:rowOff>142875</xdr:rowOff>
                  </from>
                  <to>
                    <xdr:col>12</xdr:col>
                    <xdr:colOff>428625</xdr:colOff>
                    <xdr:row>25</xdr:row>
                    <xdr:rowOff>371475</xdr:rowOff>
                  </to>
                </anchor>
              </controlPr>
            </control>
          </mc:Choice>
        </mc:AlternateContent>
        <mc:AlternateContent xmlns:mc="http://schemas.openxmlformats.org/markup-compatibility/2006">
          <mc:Choice Requires="x14">
            <control shapeId="20" r:id="rId52" name="Group Box 79">
              <controlPr defaultSize="0" autoFill="0" autoPict="0">
                <anchor moveWithCells="1" sizeWithCells="1">
                  <from>
                    <xdr:col>11</xdr:col>
                    <xdr:colOff>0</xdr:colOff>
                    <xdr:row>25</xdr:row>
                    <xdr:rowOff>0</xdr:rowOff>
                  </from>
                  <to>
                    <xdr:col>13</xdr:col>
                    <xdr:colOff>0</xdr:colOff>
                    <xdr:row>26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 id="{04DE0235-5D5B-4B36-9F90-97CE6D84AB43}">
            <x14:iconSet showValue="0" custom="1">
              <x14:cfvo type="percent">
                <xm:f>0</xm:f>
              </x14:cfvo>
              <x14:cfvo type="num">
                <xm:f>1</xm:f>
              </x14:cfvo>
              <x14:cfvo type="num">
                <xm:f>2</xm:f>
              </x14:cfvo>
              <x14:cfIcon iconSet="3Symbols" iconId="0"/>
              <x14:cfIcon iconSet="3Symbols" iconId="2"/>
              <x14:cfIcon iconSet="4RedToBlack" iconId="1"/>
            </x14:iconSet>
          </x14:cfRule>
          <xm:sqref>S4 S17:S27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A w D A A B Q S w M E F A A C A A g A D I v h W t 0 T A o W l A A A A 9 g A A A B I A H A B D b 2 5 m a W c v U G F j a 2 F n Z S 5 4 b W w g o h g A K K A U A A A A A A A A A A A A A A A A A A A A A A A A A A A A h Y 9 N D o I w G E S v Q r q n P 2 D U m I + y U H e S m J g Y t 0 2 p 0 A j F 0 G K 5 m w u P 5 B X E K O r O 5 b x 5 i 5 n 7 9 Q Z p X 1 f B R b V W N y Z B D F M U K C O b X J s i Q Z 0 7 h n O U c t g K e R K F C g b Z 2 E V v 8 w S V z p 0 X h H j v s Y 9 x 0 x Y k o p S R Q 7 b Z y V L V A n 1 k / V 8 O t b F O G K k Q h / 1 r D I 8 w m 8 S Y z a a Y A h k h Z N p 8 h W j Y + 2 x / I C y 7 y n W t 4 r k K V 2 s g Y w T y / s A f U E s D B B Q A A g A I A A y L 4 V p 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M i + F a K I p H u A 4 A A A A R A A A A E w A c A E Z v c m 1 1 b G F z L 1 N l Y 3 R p b 2 4 x L m 0 g o h g A K K A U A A A A A A A A A A A A A A A A A A A A A A A A A A A A K 0 5 N L s n M z 1 M I h t C G 1 g B Q S w E C L Q A U A A I A C A A M i + F a 3 R M C h a U A A A D 2 A A A A E g A A A A A A A A A A A A A A A A A A A A A A Q 2 9 u Z m l n L 1 B h Y 2 t h Z 2 U u e G 1 s U E s B A i 0 A F A A C A A g A D I v h W l N y O C y b A A A A 4 Q A A A B M A A A A A A A A A A A A A A A A A 8 Q A A A F t D b 2 5 0 Z W 5 0 X 1 R 5 c G V z X S 5 4 b W x Q S w E C L Q A U A A I A C A A M i + F a 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D C Q J W e g G 0 N P u 0 3 d Z M t H M x s A A A A A A g A A A A A A E G Y A A A A B A A A g A A A A z W r h a O L O Z T Y k D O G b x 7 s O i i H J u x Z x c f g D g H n g K i r 3 3 V s A A A A A D o A A A A A C A A A g A A A A x Y p V r Q j I Z V g L u Y t y R Y t p X A B j T T z l E P R j i x v u g F 2 0 U 5 d Q A A A A 2 b H 9 X N r b X 5 g / D H z G b 5 c / Z D 7 w I L V V g r N 6 H j 8 2 l 6 z g j w c R 6 a L Y v v Z P A t K M X Z a r q i w U 4 Y F b L O T T f J l E s + Q z P Q O S H X B 9 S K M k d / 8 Y 0 Z M v a / J 6 f 7 d A A A A A r T 8 h N z v n S Y L 4 f m g t y a 5 u j V B a 0 0 u g k 7 r M 6 / P I J r k 1 n j T 9 N x a z O Q M U 6 E r e f H 8 T x S j k 2 6 s G 9 b z i v d i c f o N Q V U K 2 n 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8E2FCD3FE185C042A4F8B8AE1BADD770" ma:contentTypeVersion="11" ma:contentTypeDescription="Create a new document." ma:contentTypeScope="" ma:versionID="7b01a8a82f8aba627d08f6169eb28212">
  <xsd:schema xmlns:xsd="http://www.w3.org/2001/XMLSchema" xmlns:xs="http://www.w3.org/2001/XMLSchema" xmlns:p="http://schemas.microsoft.com/office/2006/metadata/properties" xmlns:ns2="8f8d93f3-67ce-4b7c-95b9-88af80477e75" xmlns:ns3="e15d1d2d-9025-4ff3-bd06-02a789e91d5a" targetNamespace="http://schemas.microsoft.com/office/2006/metadata/properties" ma:root="true" ma:fieldsID="df2cbda0c090eeb07932eb8ec57caa4e" ns2:_="" ns3:_="">
    <xsd:import namespace="8f8d93f3-67ce-4b7c-95b9-88af80477e75"/>
    <xsd:import namespace="e15d1d2d-9025-4ff3-bd06-02a789e91d5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8d93f3-67ce-4b7c-95b9-88af80477e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84c54c-25e8-4dd5-b2ff-9452d36b513f"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Location" ma:index="15" nillable="true" ma:displayName="Location" ma:indexed="true"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5d1d2d-9025-4ff3-bd06-02a789e91d5a"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3a34032-dfc8-4be6-9bae-5c2aebdb9594}" ma:internalName="TaxCatchAll" ma:showField="CatchAllData" ma:web="e15d1d2d-9025-4ff3-bd06-02a789e91d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8f8d93f3-67ce-4b7c-95b9-88af80477e75">
      <Terms xmlns="http://schemas.microsoft.com/office/infopath/2007/PartnerControls"/>
    </lcf76f155ced4ddcb4097134ff3c332f>
    <TaxCatchAll xmlns="e15d1d2d-9025-4ff3-bd06-02a789e91d5a" xsi:nil="true"/>
  </documentManagement>
</p:properties>
</file>

<file path=customXml/itemProps1.xml><?xml version="1.0" encoding="utf-8"?>
<ds:datastoreItem xmlns:ds="http://schemas.openxmlformats.org/officeDocument/2006/customXml" ds:itemID="{075D8027-2569-4BCC-B4B5-AD7FA0694F25}">
  <ds:schemaRefs>
    <ds:schemaRef ds:uri="http://schemas.microsoft.com/DataMashup"/>
  </ds:schemaRefs>
</ds:datastoreItem>
</file>

<file path=customXml/itemProps2.xml><?xml version="1.0" encoding="utf-8"?>
<ds:datastoreItem xmlns:ds="http://schemas.openxmlformats.org/officeDocument/2006/customXml" ds:itemID="{67C73026-EAA3-401C-8CEA-8A7E4FC6167A}"/>
</file>

<file path=customXml/itemProps3.xml><?xml version="1.0" encoding="utf-8"?>
<ds:datastoreItem xmlns:ds="http://schemas.openxmlformats.org/officeDocument/2006/customXml" ds:itemID="{E4162840-5616-4096-8BD5-DC63E8A51CC9}"/>
</file>

<file path=customXml/itemProps4.xml><?xml version="1.0" encoding="utf-8"?>
<ds:datastoreItem xmlns:ds="http://schemas.openxmlformats.org/officeDocument/2006/customXml" ds:itemID="{9C3F600E-60CC-41B0-9EDF-963F8320D49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VORWORT</vt:lpstr>
      <vt:lpstr>UNTERNEHMUNG</vt:lpstr>
      <vt:lpstr>ENERGIETECHNIK</vt:lpstr>
      <vt:lpstr>PROZESSTECHNIK</vt:lpstr>
      <vt:lpstr>DIGITALISIERUNG</vt:lpstr>
      <vt:lpstr>FLEXIBILISIERUNG</vt:lpstr>
      <vt:lpstr>ERGEBNISSE</vt:lpstr>
      <vt:lpstr>LASTGÄNGE</vt:lpstr>
      <vt:lpstr>DIGITALISIERUNG_FILLED</vt:lpstr>
      <vt:lpstr>ENERGIETECHNIK_FILLED</vt:lpstr>
      <vt:lpstr>FLEXIBILISIERUNG_FILLED</vt:lpstr>
      <vt:lpstr>ERGEBNISSE!Print_Titles</vt:lpstr>
      <vt:lpstr>PROZESSTECHNIK_FILLED</vt:lpstr>
      <vt:lpstr>UNTERNEHMUNG_FILLED</vt:lpstr>
    </vt:vector>
  </TitlesOfParts>
  <Manager>markus.goelles@best-research.eu</Manager>
  <Company>BEST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FLEXcel - Flexibilitätsbewertung für Industriebetriebe</dc:title>
  <dc:creator>Julia Schönfelder;Bernd.Riederer@best-research.eu</dc:creator>
  <cp:keywords>Flexibilität; Industrie</cp:keywords>
  <cp:lastModifiedBy>Bernd Riederer</cp:lastModifiedBy>
  <cp:lastPrinted>2025-09-11T12:51:03Z</cp:lastPrinted>
  <dcterms:created xsi:type="dcterms:W3CDTF">2025-05-23T06:53:46Z</dcterms:created>
  <dcterms:modified xsi:type="dcterms:W3CDTF">2025-09-19T09:35:36Z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0x0101008E2FCD3FE185C042A4F8B8AE1BADD770</vt:lpwstr>
  </property>
</Properties>
</file>